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an Paxson\Documents\"/>
    </mc:Choice>
  </mc:AlternateContent>
  <bookViews>
    <workbookView xWindow="-20" yWindow="5120" windowWidth="12120" windowHeight="5180" activeTab="4" xr2:uid="{00000000-000D-0000-FFFF-FFFF00000000}"/>
  </bookViews>
  <sheets>
    <sheet name="GUIDE" sheetId="1" r:id="rId1"/>
    <sheet name="OUTPUT" sheetId="92" r:id="rId2"/>
    <sheet name="OUT VOLATILITY" sheetId="93" r:id="rId3"/>
    <sheet name="OUT SINGLE" sheetId="94" r:id="rId4"/>
    <sheet name="Sheet1" sheetId="124" r:id="rId5"/>
    <sheet name="IN OUT" sheetId="95" r:id="rId6"/>
    <sheet name="IN OUT VOLATILITY" sheetId="96" r:id="rId7"/>
    <sheet name="IN OUT SINGLE" sheetId="97" r:id="rId8"/>
    <sheet name="IN IN MULTIPLE" sheetId="120" r:id="rId9"/>
    <sheet name="IN IN VOLATILITY" sheetId="119" r:id="rId10"/>
    <sheet name="IN IN SINGLE" sheetId="118" r:id="rId11"/>
    <sheet name="COMPARISONS" sheetId="1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[1]BARRIER!$B$10:$H$10</definedName>
    <definedName name="__123Graph_ADELTA" hidden="1">[1]BARRIER!$B$18:$H$18</definedName>
    <definedName name="__123Graph_AEXERCISE" hidden="1">[1]BARRIER!$B$10:$H$10</definedName>
    <definedName name="__123Graph_ARATE" hidden="1">[1]BARRIER!$B$10:$H$10</definedName>
    <definedName name="__123Graph_ASTOCK" hidden="1">[1]BARRIER!$B$10:$H$10</definedName>
    <definedName name="__123Graph_ATIME" hidden="1">[1]BARRIER!$B$10:$H$10</definedName>
    <definedName name="__123Graph_AVOLATILITY" hidden="1">[1]BARRIER!$B$10:$H$10</definedName>
    <definedName name="__123Graph_B" hidden="1">[1]BARRIER!$B$13:$H$13</definedName>
    <definedName name="__123Graph_C" hidden="1">[1]BARRIER!$B$14:$H$14</definedName>
    <definedName name="__123Graph_X" hidden="1">[1]BARRIER!$B$5:$H$5</definedName>
    <definedName name="__123Graph_XDELTA" hidden="1">[1]BARRIER!$B$5:$H$5</definedName>
    <definedName name="__123Graph_XEXERCISE" hidden="1">[1]BARRIER!$B$6:$H$6</definedName>
    <definedName name="__123Graph_XRATE" hidden="1">[1]BARRIER!$B$8:$H$8</definedName>
    <definedName name="__123Graph_XSTOCK" hidden="1">[1]BARRIER!$B$5:$H$5</definedName>
    <definedName name="__123Graph_XTIME" hidden="1">[1]BARRIER!$B$7:$H$7</definedName>
    <definedName name="__123Graph_XVOLATILITY" hidden="1">[1]BARRIER!$B$9:$H$9</definedName>
    <definedName name="Correlation">#REF!</definedName>
    <definedName name="COST">#REF!</definedName>
    <definedName name="COST1">[2]GROWTH!$B$6</definedName>
    <definedName name="COST2">[2]GROWTH!$B$13</definedName>
    <definedName name="ETA">#REF!</definedName>
    <definedName name="HURDLE">#REF!</definedName>
    <definedName name="N_d1">[2]GROWTH!$B$22</definedName>
    <definedName name="N_d2">[2]GROWTH!$B$23</definedName>
    <definedName name="RATE">[2]GROWTH!$B$15</definedName>
    <definedName name="RISKFREE">#REF!</definedName>
    <definedName name="solver_adj" localSheetId="3" hidden="1">'OUT SINGLE'!$C$22:$C$25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'OUT SINGLE'!$C$27</definedName>
    <definedName name="solver_lhs2" localSheetId="3" hidden="1">'OUT SINGLE'!$C$28:$C$30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'OUT SINGLE'!$C$31</definedName>
    <definedName name="solver_pre" localSheetId="3" hidden="1">0.000001</definedName>
    <definedName name="solver_rbv" localSheetId="3" hidden="1">1</definedName>
    <definedName name="solver_rel1" localSheetId="3" hidden="1">2</definedName>
    <definedName name="solver_rel2" localSheetId="3" hidden="1">2</definedName>
    <definedName name="solver_rhs1" localSheetId="3" hidden="1">0</definedName>
    <definedName name="solver_rhs2" localSheetId="3" hidden="1">'OUT SINGLE'!$C$27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  <definedName name="TIME">[2]GROWTH!$B$14</definedName>
    <definedName name="VALUE">#REF!</definedName>
    <definedName name="VOL">#REF!</definedName>
    <definedName name="YIELD_RATE">#REF!</definedName>
  </definedNames>
  <calcPr calcId="171027"/>
  <customWorkbookViews>
    <customWorkbookView name="Dean A. Paxson - Personal View" guid="{5EBE86A6-E484-4409-9173-9C7E8878B5E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C16" i="94" l="1"/>
  <c r="C15" i="94"/>
  <c r="C45" i="94"/>
  <c r="C41" i="94" l="1"/>
  <c r="C44" i="94"/>
  <c r="C43" i="94"/>
  <c r="C42" i="94"/>
  <c r="B14" i="121"/>
  <c r="D5" i="121"/>
  <c r="D10" i="121"/>
  <c r="D12" i="121"/>
  <c r="C37" i="118"/>
  <c r="A36" i="118"/>
  <c r="A35" i="118"/>
  <c r="A34" i="118"/>
  <c r="A33" i="118"/>
  <c r="C30" i="118"/>
  <c r="C21" i="118"/>
  <c r="D11" i="121" s="1"/>
  <c r="C20" i="118"/>
  <c r="C17" i="118"/>
  <c r="C29" i="118" s="1"/>
  <c r="C16" i="118"/>
  <c r="C15" i="118"/>
  <c r="H43" i="119"/>
  <c r="G43" i="119"/>
  <c r="F43" i="119"/>
  <c r="E43" i="119"/>
  <c r="D43" i="119"/>
  <c r="C43" i="119"/>
  <c r="C40" i="119"/>
  <c r="C39" i="119"/>
  <c r="H23" i="119"/>
  <c r="G23" i="119"/>
  <c r="F23" i="119"/>
  <c r="E23" i="119"/>
  <c r="D23" i="119"/>
  <c r="C23" i="119"/>
  <c r="H22" i="119"/>
  <c r="G22" i="119"/>
  <c r="F22" i="119"/>
  <c r="E22" i="119"/>
  <c r="D22" i="119"/>
  <c r="C22" i="119"/>
  <c r="H20" i="119"/>
  <c r="H38" i="119" s="1"/>
  <c r="G20" i="119"/>
  <c r="G38" i="119" s="1"/>
  <c r="F20" i="119"/>
  <c r="F38" i="119" s="1"/>
  <c r="E20" i="119"/>
  <c r="E38" i="119" s="1"/>
  <c r="D20" i="119"/>
  <c r="D38" i="119" s="1"/>
  <c r="C20" i="119"/>
  <c r="C38" i="119" s="1"/>
  <c r="H19" i="119"/>
  <c r="H36" i="119" s="1"/>
  <c r="G19" i="119"/>
  <c r="G36" i="119" s="1"/>
  <c r="F19" i="119"/>
  <c r="F36" i="119" s="1"/>
  <c r="E19" i="119"/>
  <c r="E36" i="119" s="1"/>
  <c r="D19" i="119"/>
  <c r="D36" i="119" s="1"/>
  <c r="C19" i="119"/>
  <c r="C36" i="119" s="1"/>
  <c r="H18" i="119"/>
  <c r="G18" i="119"/>
  <c r="F18" i="119"/>
  <c r="E18" i="119"/>
  <c r="D18" i="119"/>
  <c r="C18" i="119"/>
  <c r="H17" i="119"/>
  <c r="G17" i="119"/>
  <c r="F17" i="119"/>
  <c r="E17" i="119"/>
  <c r="D17" i="119"/>
  <c r="C17" i="119"/>
  <c r="D7" i="119"/>
  <c r="D40" i="119" s="1"/>
  <c r="C51" i="120"/>
  <c r="D6" i="121" s="1"/>
  <c r="C40" i="120"/>
  <c r="C39" i="120"/>
  <c r="C38" i="120"/>
  <c r="C37" i="120"/>
  <c r="C34" i="120"/>
  <c r="C23" i="120"/>
  <c r="C22" i="120"/>
  <c r="D22" i="120" s="1"/>
  <c r="C19" i="120"/>
  <c r="C35" i="120" s="1"/>
  <c r="C18" i="120"/>
  <c r="D23" i="120" s="1"/>
  <c r="C17" i="120"/>
  <c r="B9" i="121"/>
  <c r="C3" i="121"/>
  <c r="C28" i="118" l="1"/>
  <c r="D4" i="121"/>
  <c r="D14" i="121" s="1"/>
  <c r="E7" i="119"/>
  <c r="F7" i="119" s="1"/>
  <c r="D20" i="118"/>
  <c r="C27" i="118"/>
  <c r="C31" i="118" s="1" a="1"/>
  <c r="C31" i="118" s="1"/>
  <c r="F40" i="119"/>
  <c r="F39" i="119"/>
  <c r="G7" i="119"/>
  <c r="C33" i="119"/>
  <c r="E33" i="119"/>
  <c r="G33" i="119"/>
  <c r="C34" i="119"/>
  <c r="E34" i="119"/>
  <c r="G34" i="119"/>
  <c r="C35" i="119"/>
  <c r="E35" i="119"/>
  <c r="G35" i="119"/>
  <c r="C37" i="119"/>
  <c r="E37" i="119"/>
  <c r="G37" i="119"/>
  <c r="E39" i="119"/>
  <c r="E40" i="119"/>
  <c r="D33" i="119"/>
  <c r="F33" i="119"/>
  <c r="H33" i="119"/>
  <c r="D34" i="119"/>
  <c r="F34" i="119"/>
  <c r="H34" i="119"/>
  <c r="D35" i="119"/>
  <c r="F35" i="119"/>
  <c r="H35" i="119"/>
  <c r="D37" i="119"/>
  <c r="F37" i="119"/>
  <c r="H37" i="119"/>
  <c r="D39" i="119"/>
  <c r="C36" i="120"/>
  <c r="C33" i="120"/>
  <c r="C41" i="120" s="1"/>
  <c r="H7" i="119" l="1"/>
  <c r="G40" i="119"/>
  <c r="G41" i="119" s="1"/>
  <c r="G39" i="119"/>
  <c r="F41" i="119"/>
  <c r="E41" i="119"/>
  <c r="D41" i="119"/>
  <c r="C41" i="119"/>
  <c r="H40" i="119" l="1"/>
  <c r="H39" i="119"/>
  <c r="H41" i="119" s="1"/>
  <c r="H42" i="119" s="1" a="1"/>
  <c r="H42" i="119" s="1"/>
  <c r="A31" i="97" l="1"/>
  <c r="A30" i="97"/>
  <c r="A29" i="97"/>
  <c r="A28" i="97"/>
  <c r="C26" i="97"/>
  <c r="C12" i="121" s="1"/>
  <c r="C23" i="97"/>
  <c r="E14" i="97"/>
  <c r="D14" i="97"/>
  <c r="C14" i="97"/>
  <c r="C10" i="121" s="1"/>
  <c r="C12" i="97"/>
  <c r="C21" i="97" s="1"/>
  <c r="H45" i="96"/>
  <c r="G45" i="96"/>
  <c r="F45" i="96"/>
  <c r="E45" i="96"/>
  <c r="D45" i="96"/>
  <c r="C45" i="96"/>
  <c r="C40" i="96"/>
  <c r="C39" i="96"/>
  <c r="H23" i="96"/>
  <c r="G23" i="96"/>
  <c r="F23" i="96"/>
  <c r="E23" i="96"/>
  <c r="D23" i="96"/>
  <c r="C23" i="96"/>
  <c r="J22" i="96"/>
  <c r="H22" i="96"/>
  <c r="G22" i="96"/>
  <c r="F22" i="96"/>
  <c r="E22" i="96"/>
  <c r="D22" i="96"/>
  <c r="C22" i="96"/>
  <c r="H20" i="96"/>
  <c r="H38" i="96" s="1"/>
  <c r="G20" i="96"/>
  <c r="G38" i="96" s="1"/>
  <c r="F20" i="96"/>
  <c r="F38" i="96" s="1"/>
  <c r="E20" i="96"/>
  <c r="E38" i="96" s="1"/>
  <c r="D20" i="96"/>
  <c r="D38" i="96" s="1"/>
  <c r="C20" i="96"/>
  <c r="C38" i="96" s="1"/>
  <c r="H19" i="96"/>
  <c r="H36" i="96" s="1"/>
  <c r="G19" i="96"/>
  <c r="G36" i="96" s="1"/>
  <c r="F19" i="96"/>
  <c r="F36" i="96" s="1"/>
  <c r="E19" i="96"/>
  <c r="E36" i="96" s="1"/>
  <c r="D19" i="96"/>
  <c r="D36" i="96" s="1"/>
  <c r="C19" i="96"/>
  <c r="C36" i="96" s="1"/>
  <c r="D7" i="96"/>
  <c r="D40" i="96" s="1"/>
  <c r="C43" i="95"/>
  <c r="C6" i="121" s="1"/>
  <c r="C40" i="95"/>
  <c r="C39" i="95"/>
  <c r="C38" i="95"/>
  <c r="C23" i="95"/>
  <c r="C5" i="121" s="1"/>
  <c r="E22" i="95"/>
  <c r="C22" i="95"/>
  <c r="C4" i="121" s="1"/>
  <c r="C14" i="121" s="1"/>
  <c r="C20" i="95"/>
  <c r="C37" i="95" s="1"/>
  <c r="C19" i="95"/>
  <c r="C35" i="95" s="1"/>
  <c r="C37" i="94"/>
  <c r="A36" i="94"/>
  <c r="A35" i="94"/>
  <c r="A34" i="94"/>
  <c r="A33" i="94"/>
  <c r="C30" i="94"/>
  <c r="C21" i="94"/>
  <c r="C20" i="94"/>
  <c r="C40" i="94" s="1"/>
  <c r="C17" i="94"/>
  <c r="C28" i="94" s="1"/>
  <c r="H42" i="93"/>
  <c r="G42" i="93"/>
  <c r="F42" i="93"/>
  <c r="E42" i="93"/>
  <c r="D42" i="93"/>
  <c r="C42" i="93"/>
  <c r="C40" i="93"/>
  <c r="C39" i="93"/>
  <c r="H23" i="93"/>
  <c r="G23" i="93"/>
  <c r="F23" i="93"/>
  <c r="E23" i="93"/>
  <c r="D23" i="93"/>
  <c r="C23" i="93"/>
  <c r="H22" i="93"/>
  <c r="G22" i="93"/>
  <c r="F22" i="93"/>
  <c r="E22" i="93"/>
  <c r="D22" i="93"/>
  <c r="C22" i="93"/>
  <c r="H20" i="93"/>
  <c r="H38" i="93" s="1"/>
  <c r="G20" i="93"/>
  <c r="G38" i="93" s="1"/>
  <c r="F20" i="93"/>
  <c r="F38" i="93" s="1"/>
  <c r="E20" i="93"/>
  <c r="E38" i="93" s="1"/>
  <c r="D20" i="93"/>
  <c r="D38" i="93" s="1"/>
  <c r="C20" i="93"/>
  <c r="C38" i="93" s="1"/>
  <c r="H19" i="93"/>
  <c r="H36" i="93" s="1"/>
  <c r="G19" i="93"/>
  <c r="G36" i="93" s="1"/>
  <c r="F19" i="93"/>
  <c r="F36" i="93" s="1"/>
  <c r="E19" i="93"/>
  <c r="E36" i="93" s="1"/>
  <c r="D19" i="93"/>
  <c r="D36" i="93" s="1"/>
  <c r="C19" i="93"/>
  <c r="C36" i="93" s="1"/>
  <c r="H18" i="93"/>
  <c r="G18" i="93"/>
  <c r="F18" i="93"/>
  <c r="E18" i="93"/>
  <c r="D18" i="93"/>
  <c r="C18" i="93"/>
  <c r="H17" i="93"/>
  <c r="G17" i="93"/>
  <c r="F17" i="93"/>
  <c r="E17" i="93"/>
  <c r="D17" i="93"/>
  <c r="C17" i="93"/>
  <c r="D7" i="93"/>
  <c r="E7" i="93" s="1"/>
  <c r="C56" i="92"/>
  <c r="C43" i="92"/>
  <c r="C45" i="92" s="1"/>
  <c r="C40" i="92"/>
  <c r="C39" i="92"/>
  <c r="C23" i="92"/>
  <c r="C22" i="92"/>
  <c r="D22" i="92" s="1"/>
  <c r="C20" i="92"/>
  <c r="C19" i="92"/>
  <c r="C36" i="92" s="1"/>
  <c r="C18" i="92"/>
  <c r="C17" i="92"/>
  <c r="D20" i="94" l="1"/>
  <c r="D23" i="95"/>
  <c r="D21" i="94"/>
  <c r="C34" i="95"/>
  <c r="D23" i="92"/>
  <c r="C36" i="95"/>
  <c r="C20" i="97"/>
  <c r="C22" i="97"/>
  <c r="E7" i="96"/>
  <c r="D33" i="96"/>
  <c r="F33" i="96"/>
  <c r="H33" i="96"/>
  <c r="D34" i="96"/>
  <c r="F34" i="96"/>
  <c r="H34" i="96"/>
  <c r="D35" i="96"/>
  <c r="F35" i="96"/>
  <c r="H35" i="96"/>
  <c r="D37" i="96"/>
  <c r="F37" i="96"/>
  <c r="H37" i="96"/>
  <c r="D39" i="96"/>
  <c r="C33" i="96"/>
  <c r="E33" i="96"/>
  <c r="G33" i="96"/>
  <c r="C34" i="96"/>
  <c r="E34" i="96"/>
  <c r="G34" i="96"/>
  <c r="C35" i="96"/>
  <c r="E35" i="96"/>
  <c r="G35" i="96"/>
  <c r="C37" i="96"/>
  <c r="E37" i="96"/>
  <c r="G37" i="96"/>
  <c r="D22" i="95"/>
  <c r="C33" i="95"/>
  <c r="C41" i="95" s="1"/>
  <c r="C27" i="94"/>
  <c r="C31" i="94" s="1" a="1"/>
  <c r="C29" i="94"/>
  <c r="E40" i="93"/>
  <c r="E39" i="93"/>
  <c r="F7" i="93"/>
  <c r="D33" i="93"/>
  <c r="F33" i="93"/>
  <c r="H33" i="93"/>
  <c r="D34" i="93"/>
  <c r="F34" i="93"/>
  <c r="H34" i="93"/>
  <c r="D35" i="93"/>
  <c r="F35" i="93"/>
  <c r="H35" i="93"/>
  <c r="D37" i="93"/>
  <c r="F37" i="93"/>
  <c r="H37" i="93"/>
  <c r="D39" i="93"/>
  <c r="D40" i="93"/>
  <c r="C33" i="93"/>
  <c r="E33" i="93"/>
  <c r="G33" i="93"/>
  <c r="C34" i="93"/>
  <c r="E34" i="93"/>
  <c r="G34" i="93"/>
  <c r="C35" i="93"/>
  <c r="E35" i="93"/>
  <c r="G35" i="93"/>
  <c r="C37" i="93"/>
  <c r="E37" i="93"/>
  <c r="G37" i="93"/>
  <c r="C33" i="92"/>
  <c r="C35" i="92"/>
  <c r="C37" i="92"/>
  <c r="C44" i="92"/>
  <c r="C46" i="92" s="1"/>
  <c r="C34" i="92"/>
  <c r="C38" i="92"/>
  <c r="C31" i="94" l="1"/>
  <c r="C24" i="97" a="1"/>
  <c r="C24" i="97" s="1"/>
  <c r="E40" i="96"/>
  <c r="E39" i="96"/>
  <c r="E41" i="96" s="1"/>
  <c r="F7" i="96"/>
  <c r="C41" i="96"/>
  <c r="D41" i="96"/>
  <c r="G7" i="93"/>
  <c r="F40" i="93"/>
  <c r="F39" i="93"/>
  <c r="E41" i="93"/>
  <c r="F41" i="93"/>
  <c r="C41" i="93"/>
  <c r="D41" i="93"/>
  <c r="C41" i="92"/>
  <c r="C47" i="92"/>
  <c r="F40" i="96" l="1"/>
  <c r="F39" i="96"/>
  <c r="G7" i="96"/>
  <c r="G40" i="93"/>
  <c r="G39" i="93"/>
  <c r="H7" i="93"/>
  <c r="I41" i="93" a="1"/>
  <c r="I41" i="93" s="1"/>
  <c r="F41" i="96" l="1"/>
  <c r="G40" i="96"/>
  <c r="G39" i="96"/>
  <c r="G41" i="96" s="1"/>
  <c r="H7" i="96"/>
  <c r="H40" i="93"/>
  <c r="H39" i="93"/>
  <c r="G41" i="93"/>
  <c r="E27" i="1"/>
  <c r="E13" i="1"/>
  <c r="E12" i="1"/>
  <c r="H40" i="96" l="1"/>
  <c r="H39" i="96"/>
  <c r="H41" i="93"/>
  <c r="H41" i="96" l="1"/>
  <c r="I41" i="96" s="1" a="1"/>
  <c r="I41" i="96" s="1"/>
</calcChain>
</file>

<file path=xl/sharedStrings.xml><?xml version="1.0" encoding="utf-8"?>
<sst xmlns="http://schemas.openxmlformats.org/spreadsheetml/2006/main" count="1200" uniqueCount="437">
  <si>
    <t>r</t>
  </si>
  <si>
    <t>COST</t>
  </si>
  <si>
    <t>PRICE</t>
  </si>
  <si>
    <t>X</t>
  </si>
  <si>
    <t>D</t>
  </si>
  <si>
    <t>FIGURE</t>
  </si>
  <si>
    <t>PAGE</t>
  </si>
  <si>
    <t>DUO_PROFITS2_K</t>
  </si>
  <si>
    <t>DUO_PROFITS2_VOL</t>
  </si>
  <si>
    <t>Price &amp; Quantity Rivalry vs. Q</t>
  </si>
  <si>
    <t>P_Q RIVALRY_Q</t>
  </si>
  <si>
    <t>Revenue and Investment Cost Uncertainty</t>
  </si>
  <si>
    <t>Solver</t>
  </si>
  <si>
    <t>BINOMIAL_CALL</t>
  </si>
  <si>
    <t>BINOMIAL_PUT</t>
  </si>
  <si>
    <t>Put One Step Binomial</t>
  </si>
  <si>
    <t>Call One Step Binomial</t>
  </si>
  <si>
    <t>x</t>
  </si>
  <si>
    <t>SOLVER: SET C41=0, CHANGING C24:C31</t>
  </si>
  <si>
    <t xml:space="preserve">STOC_ENTRY_EXIT </t>
  </si>
  <si>
    <t>MULTIPLE_SCALE</t>
  </si>
  <si>
    <t>DUO_PROFITS1</t>
  </si>
  <si>
    <t>R_K RIVALRY</t>
  </si>
  <si>
    <t xml:space="preserve"> </t>
  </si>
  <si>
    <t>INPUT</t>
  </si>
  <si>
    <t>VOLATILITY</t>
  </si>
  <si>
    <t>OUTPUT</t>
  </si>
  <si>
    <t>A</t>
  </si>
  <si>
    <t>CHAPTER 1</t>
  </si>
  <si>
    <t>INTRINSIC CALL</t>
  </si>
  <si>
    <t>CALL OPTION</t>
  </si>
  <si>
    <t>CHAPTER 2</t>
  </si>
  <si>
    <t>BINOMIAL_CALL_PUT</t>
  </si>
  <si>
    <t>Call &amp; Put Binomial, No Income</t>
  </si>
  <si>
    <t>BLACK_SCHOLES</t>
  </si>
  <si>
    <t>Basic Black-Scholes</t>
  </si>
  <si>
    <t>DEFERRAL</t>
  </si>
  <si>
    <t>GROWTH</t>
  </si>
  <si>
    <t>EXCHANGE</t>
  </si>
  <si>
    <t>Margrabe Exchange</t>
  </si>
  <si>
    <t>CHAPTER 3</t>
  </si>
  <si>
    <t>HEDGING1</t>
  </si>
  <si>
    <t>"Perfect Hedging" with Futures</t>
  </si>
  <si>
    <t>STRATEGY1</t>
  </si>
  <si>
    <t>Write Put Strategy</t>
  </si>
  <si>
    <t>STRATEGY2</t>
  </si>
  <si>
    <t>Buy Put Strategy</t>
  </si>
  <si>
    <t>STRATEGY3</t>
  </si>
  <si>
    <t>Protective Put Strategy</t>
  </si>
  <si>
    <t>STRATEGY4</t>
  </si>
  <si>
    <t>Write Call Strategy</t>
  </si>
  <si>
    <t>STRATEGY5</t>
  </si>
  <si>
    <t>Collar Strategy</t>
  </si>
  <si>
    <t>SHARING</t>
  </si>
  <si>
    <t>CHAPTER 4</t>
  </si>
  <si>
    <t>SAMUELSON1</t>
  </si>
  <si>
    <t>SAMUELSON2</t>
  </si>
  <si>
    <t>Perpetual American Exchange Option</t>
  </si>
  <si>
    <t>DELTA, GAMMA</t>
  </si>
  <si>
    <t>HEDGING</t>
  </si>
  <si>
    <t>Delta Hedging a Perpetual Call</t>
  </si>
  <si>
    <t>CHAPTER 5</t>
  </si>
  <si>
    <t>Perpetual Multi-Factor Real Option</t>
  </si>
  <si>
    <t>MARSHALL_INVEST</t>
  </si>
  <si>
    <t>Marshall NPV Investment Rules</t>
  </si>
  <si>
    <t>MARSHALL_SENSE</t>
  </si>
  <si>
    <t>Marshall Sensitivities</t>
  </si>
  <si>
    <t>CHAPTER 8</t>
  </si>
  <si>
    <t>CHAPTER 9</t>
  </si>
  <si>
    <t>CHAPTER 10</t>
  </si>
  <si>
    <t>P_Q RIVALRY</t>
  </si>
  <si>
    <t>First Mover Advantage: Market Share</t>
  </si>
  <si>
    <t>Price &amp; Quantity Uncertainty</t>
  </si>
  <si>
    <t>ROV Entry Only</t>
  </si>
  <si>
    <t>ROV Entry_Contract_Revert_Exit</t>
  </si>
  <si>
    <t>Intrinsic Call Option Value</t>
  </si>
  <si>
    <t>Model and Intrinsic Call Option Value</t>
  </si>
  <si>
    <t>CALL_TIME</t>
  </si>
  <si>
    <t>Call Option vs. Time to Maturity</t>
  </si>
  <si>
    <t>CALL_VOLATILITY</t>
  </si>
  <si>
    <t>Call Option vs. Increasing Volatility</t>
  </si>
  <si>
    <t>Gate receipt sharing arrangement lease</t>
  </si>
  <si>
    <t>Delta, ROV, V* vs Volatility</t>
  </si>
  <si>
    <t>Perpetual Delta &amp; Gamma vs Interest Rates</t>
  </si>
  <si>
    <t>AMER_PERP</t>
  </si>
  <si>
    <t>AM_PERP_MF</t>
  </si>
  <si>
    <t>AM_PERP_MF_Q</t>
  </si>
  <si>
    <t>Perpetual Multi-Factor Real Option vs Volume</t>
  </si>
  <si>
    <t>AM_PERP_MF_CORR</t>
  </si>
  <si>
    <t>Perpetual Multi-Factor Real Option vs Corr</t>
  </si>
  <si>
    <t>AM_PERP_EXCH</t>
  </si>
  <si>
    <t>AM_PERP_EXCH_CORR</t>
  </si>
  <si>
    <t>Perpetual American Exchange Option vs.Corr</t>
  </si>
  <si>
    <t>#1 Session</t>
  </si>
  <si>
    <t>#2 Session</t>
  </si>
  <si>
    <t xml:space="preserve">                                                         GUIDE TO REAL OPTION VALUE_ EXCEL FILES</t>
  </si>
  <si>
    <t>Renovation Call Option</t>
  </si>
  <si>
    <t>CHAPTER 11</t>
  </si>
  <si>
    <t>CHAPTER 12</t>
  </si>
  <si>
    <t>RENEWAL DETERMINISTIC</t>
  </si>
  <si>
    <t>RENEWAL P&amp;C STOCHASTIC</t>
  </si>
  <si>
    <t>SINGLE RENEWAL OPTION</t>
  </si>
  <si>
    <t>ABANDON OPTION</t>
  </si>
  <si>
    <t>ANTICIPATED TECH PROGRESS</t>
  </si>
  <si>
    <t>RENOVATION</t>
  </si>
  <si>
    <t>RENOVATION REQUIRED</t>
  </si>
  <si>
    <t>Renovation Put</t>
  </si>
  <si>
    <t>EQ 22</t>
  </si>
  <si>
    <t>Equity &amp; Debt &amp; Bankruptcy</t>
  </si>
  <si>
    <t>EQ 26</t>
  </si>
  <si>
    <t xml:space="preserve">                         Multiple American Perpetual Output Switch Option</t>
  </si>
  <si>
    <t>OUTPUT X</t>
  </si>
  <si>
    <t>OUTPUT Y</t>
  </si>
  <si>
    <t>y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</si>
  <si>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</si>
  <si>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</si>
  <si>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</si>
  <si>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</si>
  <si>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</si>
  <si>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</si>
  <si>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</si>
  <si>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</si>
  <si>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</si>
  <si>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</si>
  <si>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</si>
  <si>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Operating cost for x</t>
  </si>
  <si>
    <r>
      <t>c</t>
    </r>
    <r>
      <rPr>
        <vertAlign val="subscript"/>
        <sz val="10"/>
        <rFont val="Times New Roman"/>
        <family val="1"/>
      </rPr>
      <t>x</t>
    </r>
  </si>
  <si>
    <t>Operating cost for y</t>
  </si>
  <si>
    <r>
      <t>c</t>
    </r>
    <r>
      <rPr>
        <vertAlign val="subscript"/>
        <sz val="10"/>
        <rFont val="Times New Roman"/>
        <family val="1"/>
      </rPr>
      <t>y</t>
    </r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</si>
  <si>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</si>
  <si>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</si>
  <si>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</si>
  <si>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</si>
  <si>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PV of revenues x</t>
  </si>
  <si>
    <t>LHS EQ5</t>
  </si>
  <si>
    <t>PV of revenues y</t>
  </si>
  <si>
    <t>Y</t>
  </si>
  <si>
    <t>LHS EQ7</t>
  </si>
  <si>
    <t>Switching boundary X to Y</t>
  </si>
  <si>
    <r>
      <t>x</t>
    </r>
    <r>
      <rPr>
        <vertAlign val="subscript"/>
        <sz val="10"/>
        <rFont val="Times New Roman"/>
        <family val="1"/>
      </rPr>
      <t>12</t>
    </r>
  </si>
  <si>
    <t>Switching boundary Y to X</t>
  </si>
  <si>
    <r>
      <t>x</t>
    </r>
    <r>
      <rPr>
        <vertAlign val="subscript"/>
        <sz val="10"/>
        <rFont val="Times New Roman"/>
        <family val="1"/>
      </rPr>
      <t>21</t>
    </r>
  </si>
  <si>
    <t>SOLUTION</t>
  </si>
  <si>
    <t>OPTION VALUE</t>
  </si>
  <si>
    <t>Asset value in operating mode '1'</t>
  </si>
  <si>
    <r>
      <t>V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(x,y)</t>
    </r>
  </si>
  <si>
    <t>Asset value in operating mode '2'</t>
  </si>
  <si>
    <r>
      <t>V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(x,y)</t>
    </r>
  </si>
  <si>
    <t>B</t>
  </si>
  <si>
    <t>Switching boundary x to y</t>
  </si>
  <si>
    <r>
      <t>y</t>
    </r>
    <r>
      <rPr>
        <vertAlign val="subscript"/>
        <sz val="10"/>
        <rFont val="Times New Roman"/>
        <family val="1"/>
      </rPr>
      <t xml:space="preserve">12 </t>
    </r>
    <r>
      <rPr>
        <sz val="10"/>
        <rFont val="Times New Roman"/>
        <family val="1"/>
      </rPr>
      <t>(x)</t>
    </r>
  </si>
  <si>
    <r>
      <t>y</t>
    </r>
    <r>
      <rPr>
        <vertAlign val="subscript"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</si>
  <si>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</si>
  <si>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</si>
  <si>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t>must be negative</t>
  </si>
  <si>
    <r>
      <t>β</t>
    </r>
    <r>
      <rPr>
        <vertAlign val="subscript"/>
        <sz val="10"/>
        <rFont val="Times New Roman"/>
        <family val="1"/>
      </rPr>
      <t>12</t>
    </r>
  </si>
  <si>
    <t>must be positive</t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</si>
  <si>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</si>
  <si>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</si>
  <si>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EQUATIONS</t>
  </si>
  <si>
    <t>Value matching 1</t>
  </si>
  <si>
    <t>EQ9</t>
  </si>
  <si>
    <t>Value matching 2</t>
  </si>
  <si>
    <t>EQ10</t>
  </si>
  <si>
    <t>Smooth pasting 1A</t>
  </si>
  <si>
    <t>EQ11</t>
  </si>
  <si>
    <t>Smooth pasting 1B</t>
  </si>
  <si>
    <t>EQ12</t>
  </si>
  <si>
    <t>Smooth pasting 2A</t>
  </si>
  <si>
    <t>EQ13</t>
  </si>
  <si>
    <t>Smooth pasting 2B</t>
  </si>
  <si>
    <t>EQ14</t>
  </si>
  <si>
    <t>Solution quadrant 1</t>
  </si>
  <si>
    <t>EQ6</t>
  </si>
  <si>
    <t>Solution quadrant 2</t>
  </si>
  <si>
    <t>EQ8</t>
  </si>
  <si>
    <t>Sum</t>
  </si>
  <si>
    <t>C29*C30-C28*C31</t>
  </si>
  <si>
    <t>Wedge x</t>
  </si>
  <si>
    <t>1-(C29-C31)/C43</t>
  </si>
  <si>
    <t>Wedge y</t>
  </si>
  <si>
    <t>1-(C30-C28)/C43</t>
  </si>
  <si>
    <t>EQ 15</t>
  </si>
  <si>
    <t>(C26/C6)*C45-(C19/C5)*C44-C15</t>
  </si>
  <si>
    <t>EQ 16</t>
  </si>
  <si>
    <t>(C20/C5)*C44-(C27/C6)*C45-C16</t>
  </si>
  <si>
    <t>(C24*C19^C28*C26^C29+C19/C5-C11/C10-C25*C19^C30*C26^C31-C26/C6+C12/C10+C15)</t>
  </si>
  <si>
    <t>(C24*C20^C28*C27^C29+C20/C5-C11/C10-C25*C20^C30*C27^C31-C27/C6+C12/C10-C16)</t>
  </si>
  <si>
    <t>(C28*C24*C19^(C28-1)*C26^C29+1/C5-C30*C25*C19^(C30-1)*C26^C31)</t>
  </si>
  <si>
    <t>(C29*C24*C19^C28*C26^(C29-1)-C31*C25*C19^C30*C26^(C31-1)-1/C6)</t>
  </si>
  <si>
    <t>(C28*C24*C20^(C28-1)*C27^C29+1/C5-C30*C25*C20^(C30-1)*C27^C31)</t>
  </si>
  <si>
    <t>(C29*C24*C20^C28*C27^(C29-1)-C31*C25*C20^C30*C27^(C31-1)-1/C6)</t>
  </si>
  <si>
    <t>0.5*C7^2*C28*(C28-1)+0.5*C8^2*C29*(C29-1)+C9*C7*C8*C28*C29+C28*(C10-C5)+C29*(C10-C6)-C10</t>
  </si>
  <si>
    <t>0.5*C7^2*C30*(C30-1)+0.5*C8^2*C31*(C31-1)+C9*C7*C8*C30*C31+C30*(C10-C5)+C31*(C10-C6)-C10</t>
  </si>
  <si>
    <t>SPREAD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</si>
  <si>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  EQ 5</t>
    </r>
  </si>
  <si>
    <t>C3/C5-C11/C10+C24*C3^C28*C4^C29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</si>
  <si>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  EQ 7</t>
    </r>
  </si>
  <si>
    <t>C4/C6-C12/C10+C25*C3^C30*C4^C31</t>
  </si>
  <si>
    <t>OUTPUT_SwitchFEB2011</t>
  </si>
  <si>
    <r>
      <t>σ</t>
    </r>
    <r>
      <rPr>
        <b/>
        <vertAlign val="subscript"/>
        <sz val="10"/>
        <color indexed="10"/>
        <rFont val="Times New Roman"/>
        <family val="1"/>
      </rPr>
      <t>x</t>
    </r>
  </si>
  <si>
    <t>Capacity x</t>
  </si>
  <si>
    <r>
      <t>p</t>
    </r>
    <r>
      <rPr>
        <vertAlign val="subscript"/>
        <sz val="10"/>
        <rFont val="Times New Roman"/>
        <family val="1"/>
      </rPr>
      <t>1</t>
    </r>
  </si>
  <si>
    <t>Capacity y</t>
  </si>
  <si>
    <r>
      <t>p</t>
    </r>
    <r>
      <rPr>
        <vertAlign val="subscript"/>
        <sz val="10"/>
        <rFont val="Times New Roman"/>
        <family val="1"/>
      </rPr>
      <t>2</t>
    </r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</si>
  <si>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</si>
  <si>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</si>
  <si>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r>
      <t>SPREAD y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-y</t>
    </r>
    <r>
      <rPr>
        <vertAlign val="subscript"/>
        <sz val="10"/>
        <rFont val="Times New Roman"/>
        <family val="1"/>
      </rPr>
      <t>21</t>
    </r>
  </si>
  <si>
    <t>SOLVER: SET I40=0, CHANGING C24:H31</t>
  </si>
  <si>
    <t>(C24*C19^C28*C26^C29+C13*C19/C5-C13*C11/C10-C25*C19^C30*C26^C31-C14*C26/C6+C14*C12/C10+C15)</t>
  </si>
  <si>
    <t>(C24*C20^C28*C27^C29+C13*C20/C5-C13*C11/C10-C25*C20^C30*C27^C31-C14*C27/C6+C14*C12/C10-C16)</t>
  </si>
  <si>
    <t>(C28*C24*C19^(C28-1)*C26^C29+C13/C5-C30*C25*C19^(C30-1)*C26^C31)</t>
  </si>
  <si>
    <t>(C29*C24*C19^C28*C26^(C29-1)-C31*C25*C19^C30*C26^(C31-1)-C14/C6)</t>
  </si>
  <si>
    <t>(C28*C24*C20^(C28-1)*C27^C29+C13/C5-C30*C25*C20^(C30-1)*C27^C31)</t>
  </si>
  <si>
    <t>(C29*C24*C20^C28*C27^(C29-1)-C31*C25*C20^C30*C27^(C31-1)-C14/C6)</t>
  </si>
  <si>
    <t>C13*C3/C5-C13*C11/C10+C24*C3^C28*C4^C29</t>
  </si>
  <si>
    <t>C14*C4/C6-C14*C12/C10+C25*C3^C30*C4^C31</t>
  </si>
  <si>
    <t>Continuous American Perpetual SINGLE SWITCH Option</t>
  </si>
  <si>
    <t xml:space="preserve">ONE WAY SWITCH FROM OUTPUT X TO Y </t>
  </si>
  <si>
    <t>EQ 19</t>
  </si>
  <si>
    <t>EQ 20</t>
  </si>
  <si>
    <t>EQ 21</t>
  </si>
  <si>
    <t>SOLVER: SET C31=0, CHANGING C22:C25</t>
  </si>
  <si>
    <t>(C22*C17^C24*C23^C25+C17/C5-C11/C10-C23/C6+C12/C10+C13)</t>
  </si>
  <si>
    <t>(C24*C22*C17^(C24-1)*C23^C25+1/C5)</t>
  </si>
  <si>
    <t>(C25*C22*C17^C24*C23^(C25-1)-1/C6)</t>
  </si>
  <si>
    <t>0.5*C7^2*C24*(C24-1)+0.5*C8^2*C25*(C25-1)+C9*C7*C8*C24*C25+C24*(C10-C5)+C25*(C10-C6)-C10</t>
  </si>
  <si>
    <t>C3/C5-C11/C10+C22*C3^C24*C4^C25</t>
  </si>
  <si>
    <t>C4/C6-C12/C10</t>
  </si>
  <si>
    <t>Continuous American Perpetual IN-OUT Exchange Option Non-homogeneous</t>
  </si>
  <si>
    <t>IN_OUT_JAN2011</t>
  </si>
  <si>
    <t>Switching boundary OP to SHUT</t>
  </si>
  <si>
    <t>Switching boundary SHUT to OP</t>
  </si>
  <si>
    <t>OPTION</t>
  </si>
  <si>
    <t>OPERATING</t>
  </si>
  <si>
    <t xml:space="preserve">Asset value in operating mode </t>
  </si>
  <si>
    <t>Asset value in shut down mode</t>
  </si>
  <si>
    <t>EQ 29</t>
  </si>
  <si>
    <t>(C24*C19^C28*C26^C29+C19/C5-C26/C6-C25*C19^C30*C26^C31+C15)</t>
  </si>
  <si>
    <t>EQ 30</t>
  </si>
  <si>
    <t>(C25*C20^C30*C27^C31-C24*C20^C28*C27^C29-C20/C5+C27/C6+C16)</t>
  </si>
  <si>
    <t>EQ 31</t>
  </si>
  <si>
    <t>(C28*C24*(C19^(C28-1))*C26^C29+1/C5-C30*C25*(C19^(C30-1))*C26^C31)</t>
  </si>
  <si>
    <t>EQ 32</t>
  </si>
  <si>
    <t>(C29*C24*C19^C28*(C26^(C29-1))-1/C6-C31*C25*C19^C30*(C26^(C31-1)))</t>
  </si>
  <si>
    <t>EQ 33</t>
  </si>
  <si>
    <t>(C30*C25*(C20^(C30-1))*C27^C31-C28*C24*(C20^(C28-1))*C27^C29-1/C5)</t>
  </si>
  <si>
    <t>EQ 34</t>
  </si>
  <si>
    <t>(C31*C25*C20^C30*(C27^(C31-1))-C29*C24*C20^C28*(C27^(C29-1))+1/C6)</t>
  </si>
  <si>
    <t>EQ 28</t>
  </si>
  <si>
    <t>(C24*C3^C28*C4^C29+C3/C5-C4/C6)</t>
  </si>
  <si>
    <t>(C25*C3^C30*C4^C31)</t>
  </si>
  <si>
    <r>
      <t>σ</t>
    </r>
    <r>
      <rPr>
        <b/>
        <vertAlign val="subscript"/>
        <sz val="10"/>
        <rFont val="Times New Roman"/>
        <family val="1"/>
      </rPr>
      <t>x</t>
    </r>
  </si>
  <si>
    <t>SHUT DOWN</t>
  </si>
  <si>
    <t>SOLVER: SET I41=0, CHANGING C24:H31</t>
  </si>
  <si>
    <t>(C24*C19^C28*C26^C29+C3/C5-C4/C6)</t>
  </si>
  <si>
    <t>(C25*C20^C30*C27^C31)</t>
  </si>
  <si>
    <t>SINGLE American Perpetual IN-OUT SWITCH Option Non-homogeneous</t>
  </si>
  <si>
    <t>EQ 35</t>
  </si>
  <si>
    <t>EQ 36</t>
  </si>
  <si>
    <t>EQ 37</t>
  </si>
  <si>
    <t>EQ 38</t>
  </si>
  <si>
    <t>SOLVER: SET C24=0, CHANGING C15:C18</t>
  </si>
  <si>
    <t>(C15*C3^C17*C4^C18+C3/C5-C4/C6)</t>
  </si>
  <si>
    <t>(C15*C12^C17*C16^C18+C12/C5-C16/C6+C11)</t>
  </si>
  <si>
    <t>(C17*C15*(C12^(C17-1))*C16^C18+1/C5)</t>
  </si>
  <si>
    <t>(C18*C15*C12^C17*(C16^(C18-1))-1/C6)</t>
  </si>
  <si>
    <t>0.5*C7^2*C17*(C17-1)+0.5*C8^2*C18*(C18-1)+C9*C7*C8*C17*C18+C17*(C10-C5)+C18*(C10-C6)-C10</t>
  </si>
  <si>
    <t>CHAPTER 6</t>
  </si>
  <si>
    <t>BJERKSUND &amp; EKERN</t>
  </si>
  <si>
    <t>VALUE_OILFIELD</t>
  </si>
  <si>
    <t>CHAPTER 7</t>
  </si>
  <si>
    <t>OUT_VOLATILITY</t>
  </si>
  <si>
    <t>OUT_SINGLE</t>
  </si>
  <si>
    <t>IN_OUT</t>
  </si>
  <si>
    <t>IN_OUT VOLATILITY</t>
  </si>
  <si>
    <t>SINGLE SWITCH</t>
  </si>
  <si>
    <t>IN_IN MULTIPLE</t>
  </si>
  <si>
    <t>IN_IN SINGLE</t>
  </si>
  <si>
    <t>Deterministic P &amp; C Drifts</t>
  </si>
  <si>
    <t>Stochastic P Only</t>
  </si>
  <si>
    <t>RENEWAL P STOCHASTIC</t>
  </si>
  <si>
    <t>As Function Volatility</t>
  </si>
  <si>
    <t>Best of Two Outputs: Multiple</t>
  </si>
  <si>
    <t>Best of Two Outputs: Single</t>
  </si>
  <si>
    <t>Stochastic In &amp; Output: Multiple</t>
  </si>
  <si>
    <t>Lowest of Two Inputs: Multiple</t>
  </si>
  <si>
    <t>Lowest of Two Inputs: Single</t>
  </si>
  <si>
    <t>8.5-8.6</t>
  </si>
  <si>
    <t>8.2-8.3</t>
  </si>
  <si>
    <t>ENTRY-EXIT</t>
  </si>
  <si>
    <t xml:space="preserve">STOC_INVEST </t>
  </si>
  <si>
    <t>ROV Entry (Price)</t>
  </si>
  <si>
    <t xml:space="preserve">ENTRY_EXIT_VOL </t>
  </si>
  <si>
    <t>ENTRY_EXIT OPTIONS</t>
  </si>
  <si>
    <t>ENTRY_EXIT OPTIONS (Volatility)</t>
  </si>
  <si>
    <t>1st Mover Advantage: Relative Profits vs. K</t>
  </si>
  <si>
    <t>1st Mover Advantage: Relative Profits vs.Vol.</t>
  </si>
  <si>
    <t>RENEWAL C STOCHASTIC</t>
  </si>
  <si>
    <t>Stochastic C Only</t>
  </si>
  <si>
    <t>BASICS</t>
  </si>
  <si>
    <t>STRATEGIES</t>
  </si>
  <si>
    <t>SCALE OPTIONS</t>
  </si>
  <si>
    <t>COMPETITIVE OPTIONS</t>
  </si>
  <si>
    <t>TOPIC</t>
  </si>
  <si>
    <t>RENEWALS</t>
  </si>
  <si>
    <t>SWITCHING</t>
  </si>
  <si>
    <t>11.2,11.5</t>
  </si>
  <si>
    <t>Stochastic P &amp; C: Multiple</t>
  </si>
  <si>
    <t>Stochastic P &amp; C: Single</t>
  </si>
  <si>
    <t>Stochastic P &amp; C: Abandon</t>
  </si>
  <si>
    <t>New Lower Renewal Cost</t>
  </si>
  <si>
    <t>#  Session</t>
  </si>
  <si>
    <t xml:space="preserve">DEBT STRATEGIES </t>
  </si>
  <si>
    <t>Sequential 3 Stage Matrix</t>
  </si>
  <si>
    <t>EURO_COM_CALL</t>
  </si>
  <si>
    <t>Geske Compound Two Stage Investment</t>
  </si>
  <si>
    <t>EURO_COM_EXCH</t>
  </si>
  <si>
    <t>European Compound Exchange Option</t>
  </si>
  <si>
    <t>3 STAGE SEQ</t>
  </si>
  <si>
    <t>10.1a</t>
  </si>
  <si>
    <t>ODE PROOF</t>
  </si>
  <si>
    <t>Option to Default</t>
  </si>
  <si>
    <t>10.1b</t>
  </si>
  <si>
    <t>V DELTA</t>
  </si>
  <si>
    <t>10.1f</t>
  </si>
  <si>
    <t>BASE CASE DEBT</t>
  </si>
  <si>
    <t>FAIR STRATEGY</t>
  </si>
  <si>
    <t>SIMPLE STRATEGY</t>
  </si>
  <si>
    <t>Personal Equity &amp; Debt &amp; Bankruptcy</t>
  </si>
  <si>
    <t>Equity &amp; Debt &amp; Bankruptcy: Renegotiation</t>
  </si>
  <si>
    <t>STRATEGY a</t>
  </si>
  <si>
    <t>#3 Session</t>
  </si>
  <si>
    <t>SEQUENTIAL INVESTMENTS (UNDER REVISION)</t>
  </si>
  <si>
    <t>MF INVESTMENT OPTION (UNDER REVISION)</t>
  </si>
  <si>
    <t>FINITE AMERICAN OPTION (UNDER REVISION)</t>
  </si>
  <si>
    <t>REAL INVESTMENT GROWTH OPTION</t>
  </si>
  <si>
    <t>Perpetual American Option ODE</t>
  </si>
  <si>
    <t>TOURINHO MODEL I</t>
  </si>
  <si>
    <t>TOURINHO MODEL I &amp; V*</t>
  </si>
  <si>
    <t>American Perpetual Call Option</t>
  </si>
  <si>
    <t>Real American Perpetual Call Option + Holding Cost</t>
  </si>
  <si>
    <t>MODIFIED TOURINHO MODEL II</t>
  </si>
  <si>
    <t>Optimal Package for Real Option Writer</t>
  </si>
  <si>
    <t>Real American Perpetual Call Option + Thresholds</t>
  </si>
  <si>
    <t>TWO OUTPUTS</t>
  </si>
  <si>
    <t>IN-OUT</t>
  </si>
  <si>
    <t>TWO INPUTS</t>
  </si>
  <si>
    <t>MULTIPLE</t>
  </si>
  <si>
    <t xml:space="preserve">  PRODUCTION</t>
  </si>
  <si>
    <t xml:space="preserve">  V1</t>
  </si>
  <si>
    <t xml:space="preserve">  V2</t>
  </si>
  <si>
    <t xml:space="preserve">  SPREAD</t>
  </si>
  <si>
    <t>SINGLE</t>
  </si>
  <si>
    <t xml:space="preserve">                         Multiple American Perpetual Input Switch Option</t>
  </si>
  <si>
    <t>INPUT x</t>
  </si>
  <si>
    <t>INPUT y</t>
  </si>
  <si>
    <t>Output price for x</t>
  </si>
  <si>
    <r>
      <t>p</t>
    </r>
    <r>
      <rPr>
        <vertAlign val="subscript"/>
        <sz val="10"/>
        <rFont val="Times New Roman"/>
        <family val="1"/>
      </rPr>
      <t>x</t>
    </r>
  </si>
  <si>
    <t>Output price for y</t>
  </si>
  <si>
    <r>
      <t>p</t>
    </r>
    <r>
      <rPr>
        <vertAlign val="subscript"/>
        <sz val="10"/>
        <rFont val="Times New Roman"/>
        <family val="1"/>
      </rPr>
      <t>y</t>
    </r>
  </si>
  <si>
    <t>PV of revenues using x</t>
  </si>
  <si>
    <t>PV of revenues using y</t>
  </si>
  <si>
    <t>Switching boundary y to x</t>
  </si>
  <si>
    <t>EQ47</t>
  </si>
  <si>
    <t>EQ48</t>
  </si>
  <si>
    <t>EQ49</t>
  </si>
  <si>
    <t>EQ50</t>
  </si>
  <si>
    <t>EQ51</t>
  </si>
  <si>
    <t>EQ52</t>
  </si>
  <si>
    <t>EQ44</t>
  </si>
  <si>
    <t>EQ46</t>
  </si>
  <si>
    <t>(C24*C19^C28*C26^C29-C19/C5+C11/C10-C25*C19^C30*C26^C31+C26/C6-C12/C10+C15)</t>
  </si>
  <si>
    <t>(C24*C20^C28*C27^C29-C20/C5+C11/C10-C25*C20^C30*C27^C31+C27/C6-C12/C10-C16)</t>
  </si>
  <si>
    <t>(C28*C24*C19^(C28-1)*C26^C29-1/C5-C30*C25*C19^(C30-1)*C26^C31)</t>
  </si>
  <si>
    <t>(C29*C24*C19^C28*C26^(C29-1)-C31*C25*C19^C30*C26^(C31-1)+1/C6)</t>
  </si>
  <si>
    <t>(C28*C24*C20^(C28-1)*C27^C29-1/C5-C30*C25*C20^(C30-1)*C27^C31)</t>
  </si>
  <si>
    <t>(C29*C24*C20^C28*C27^(C29-1)-C31*C25*C20^C30*C27^(C31-1)+1/C6)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</si>
  <si>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(x,y)  </t>
    </r>
  </si>
  <si>
    <t>-C3/C5+C11/C10+C24*C3^C28*C4^C29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</si>
  <si>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(x,y)  </t>
    </r>
  </si>
  <si>
    <t>-C4/C6+C12/C10+C25*C3^C30*C4^C31</t>
  </si>
  <si>
    <t>SOLVER: SET I42=0, CHANGING C24:H31</t>
  </si>
  <si>
    <t>EQ 52</t>
  </si>
  <si>
    <t>EQ 53</t>
  </si>
  <si>
    <t>EQ 54</t>
  </si>
  <si>
    <t>EQ 55</t>
  </si>
  <si>
    <t>C22*C17^C24*C23^C25-C17/C5+C11/C10+C23/C6-C12/C10+C13</t>
  </si>
  <si>
    <t>C24*C22*C17^(C24-1)*C23^C25-1/C5</t>
  </si>
  <si>
    <t>C25*C22*C17^C24*C23^(C25-1)+1/C6</t>
  </si>
  <si>
    <t>-C3/C5+C11/C10+C22*C3^C24*C4^C25</t>
  </si>
  <si>
    <t>-C4/C6+C12/C10</t>
  </si>
  <si>
    <t xml:space="preserve">                         Multiple American Perpetual Input Switching Option</t>
  </si>
  <si>
    <t xml:space="preserve">ONE WAY SWITCH FROM INPUT x TO y </t>
  </si>
  <si>
    <t>OUTPUT x</t>
  </si>
  <si>
    <t>OUTPUT y</t>
  </si>
  <si>
    <t>STAGE ONE-TWO</t>
  </si>
  <si>
    <t>Sequential 2 Stage Solver Solution</t>
  </si>
  <si>
    <t>STAGE ONE-TWO MATRIX</t>
  </si>
  <si>
    <t>Sequential 2 Stage Matrix Solution</t>
  </si>
  <si>
    <t>REAL OPTION VALUE_EXCEL_3_15.xls</t>
  </si>
  <si>
    <t>#5 Session</t>
  </si>
  <si>
    <t>#4 Session</t>
  </si>
  <si>
    <t>#9  Session</t>
  </si>
  <si>
    <t>#8 Session</t>
  </si>
  <si>
    <t>#6  Session</t>
  </si>
  <si>
    <t>#7  Session</t>
  </si>
  <si>
    <t>CHAPTER 13</t>
  </si>
  <si>
    <t xml:space="preserve">REVENUE </t>
  </si>
  <si>
    <t>PAYOFF STRATEGIES</t>
  </si>
  <si>
    <t>SWITCHING OUTPUTS</t>
  </si>
  <si>
    <t>Multiple Switches</t>
  </si>
  <si>
    <t>Single Switch</t>
  </si>
  <si>
    <t>ALLOCATING CAPAITY</t>
  </si>
  <si>
    <t>OVERBOOKING</t>
  </si>
  <si>
    <t>Writing Calls</t>
  </si>
  <si>
    <t>Writing Puts</t>
  </si>
  <si>
    <t>BookLimit &amp; Volatility</t>
  </si>
  <si>
    <t>BookLimit &amp; Relative Fares</t>
  </si>
  <si>
    <t>OB &amp; Mean NS</t>
  </si>
  <si>
    <t>OB &amp; NS Volatility</t>
  </si>
  <si>
    <t>OB &amp; Compensation</t>
  </si>
  <si>
    <t>Multiple/Single  V1</t>
  </si>
  <si>
    <t>PDE (5)</t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</si>
  <si>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ROV1,O</t>
    </r>
  </si>
  <si>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ROV1,G</t>
    </r>
  </si>
  <si>
    <r>
      <rPr>
        <sz val="10"/>
        <rFont val="Symbol"/>
        <family val="1"/>
        <charset val="2"/>
      </rPr>
      <t>G</t>
    </r>
    <r>
      <rPr>
        <sz val="10"/>
        <rFont val="Times New Roman"/>
        <family val="1"/>
      </rPr>
      <t>ROV1, O</t>
    </r>
  </si>
  <si>
    <r>
      <rPr>
        <sz val="10"/>
        <rFont val="Symbol"/>
        <family val="1"/>
        <charset val="2"/>
      </rPr>
      <t>G</t>
    </r>
    <r>
      <rPr>
        <sz val="10"/>
        <rFont val="Times New Roman"/>
        <family val="1"/>
      </rPr>
      <t>ROV1,G</t>
    </r>
  </si>
  <si>
    <r>
      <rPr>
        <sz val="10"/>
        <rFont val="Symbol"/>
        <family val="1"/>
        <charset val="2"/>
      </rPr>
      <t>G</t>
    </r>
    <r>
      <rPr>
        <sz val="10"/>
        <rFont val="Times New Roman"/>
        <family val="1"/>
      </rPr>
      <t>ROV1,O,G</t>
    </r>
  </si>
  <si>
    <t>C24*C22*(C3^(C24-1))*(C4^C25)+1/C5</t>
  </si>
  <si>
    <t>C25*C22*(C3^C24)*(C4^(C25-1))</t>
  </si>
  <si>
    <t>C24*(C24-1)*C22*(C3^(C24-2))*(C4^C25)</t>
  </si>
  <si>
    <t>C25*(C25-1)*C22*(C3^C24)*(C4^(C25-2))</t>
  </si>
  <si>
    <t>0.5*(C7^2)*(C3^2)*C43+0.5*(C8^2)*(C4^2)*C44+C9*C7*C8*C3*C4*C45+(C10-C5)*C3*C41+(C10-C6)*C4*C42-C10*C20+(C3-C11)</t>
  </si>
  <si>
    <t>C24*C25*C22*(C3^(C24-1))*(C4^(C25-1))</t>
  </si>
  <si>
    <t>(C3/C5-C11/C10)</t>
  </si>
  <si>
    <t>(C4/C6-C12/C10)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</si>
</sst>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0.0000"/>
    <numFmt numFmtId="166" formatCode="0.000"/>
    <numFmt numFmtId="167" formatCode="0.00000"/>
    <numFmt numFmtId="174" formatCode="#,##0.000"/>
    <numFmt numFmtId="175" formatCode="0.00000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vertAlign val="subscript"/>
      <sz val="10"/>
      <color indexed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65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0" xfId="0" applyAlignment="1" applyProtection="1">
      <alignment horizontal="left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Continuous"/>
    </xf>
    <xf numFmtId="0" fontId="3" fillId="0" borderId="0" xfId="0" applyFont="1"/>
    <xf numFmtId="0" fontId="1" fillId="0" borderId="0" xfId="0" applyFont="1"/>
    <xf numFmtId="3" fontId="0" fillId="0" borderId="0" xfId="0" applyNumberFormat="1"/>
    <xf numFmtId="2" fontId="2" fillId="0" borderId="0" xfId="0" applyNumberFormat="1" applyFont="1"/>
    <xf numFmtId="165" fontId="1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Font="1"/>
    <xf numFmtId="0" fontId="1" fillId="0" borderId="0" xfId="0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centerContinuous"/>
    </xf>
    <xf numFmtId="0" fontId="9" fillId="0" borderId="0" xfId="1" applyFont="1"/>
    <xf numFmtId="0" fontId="7" fillId="2" borderId="0" xfId="1" applyFont="1" applyFill="1"/>
    <xf numFmtId="2" fontId="10" fillId="0" borderId="0" xfId="1" applyNumberFormat="1" applyFont="1"/>
    <xf numFmtId="3" fontId="7" fillId="0" borderId="0" xfId="0" applyNumberFormat="1" applyFont="1" applyAlignment="1"/>
    <xf numFmtId="2" fontId="7" fillId="0" borderId="0" xfId="0" applyNumberFormat="1" applyFont="1"/>
    <xf numFmtId="0" fontId="7" fillId="2" borderId="0" xfId="0" applyFont="1" applyFill="1"/>
    <xf numFmtId="3" fontId="7" fillId="0" borderId="0" xfId="1" applyNumberFormat="1" applyFont="1"/>
    <xf numFmtId="3" fontId="7" fillId="0" borderId="0" xfId="0" applyNumberFormat="1" applyFont="1"/>
    <xf numFmtId="0" fontId="12" fillId="0" borderId="0" xfId="1" applyFont="1" applyFill="1"/>
    <xf numFmtId="4" fontId="12" fillId="0" borderId="0" xfId="1" applyNumberFormat="1" applyFont="1"/>
    <xf numFmtId="3" fontId="12" fillId="0" borderId="0" xfId="1" applyNumberFormat="1" applyFont="1"/>
    <xf numFmtId="0" fontId="7" fillId="0" borderId="0" xfId="1" applyFont="1" applyFill="1"/>
    <xf numFmtId="2" fontId="7" fillId="0" borderId="0" xfId="1" applyNumberFormat="1" applyFont="1"/>
    <xf numFmtId="166" fontId="10" fillId="0" borderId="0" xfId="1" applyNumberFormat="1" applyFont="1"/>
    <xf numFmtId="0" fontId="7" fillId="0" borderId="0" xfId="0" applyFont="1" applyFill="1"/>
    <xf numFmtId="2" fontId="12" fillId="3" borderId="0" xfId="1" applyNumberFormat="1" applyFont="1" applyFill="1"/>
    <xf numFmtId="165" fontId="7" fillId="0" borderId="0" xfId="1" applyNumberFormat="1" applyFont="1"/>
    <xf numFmtId="2" fontId="14" fillId="0" borderId="0" xfId="1" applyNumberFormat="1" applyFont="1"/>
    <xf numFmtId="166" fontId="7" fillId="0" borderId="0" xfId="1" applyNumberFormat="1" applyFont="1"/>
    <xf numFmtId="174" fontId="7" fillId="0" borderId="0" xfId="1" applyNumberFormat="1" applyFont="1"/>
    <xf numFmtId="174" fontId="7" fillId="2" borderId="0" xfId="1" applyNumberFormat="1" applyFont="1" applyFill="1"/>
    <xf numFmtId="0" fontId="12" fillId="0" borderId="0" xfId="1" applyFont="1"/>
    <xf numFmtId="0" fontId="4" fillId="0" borderId="0" xfId="1" applyFont="1" applyFill="1"/>
    <xf numFmtId="174" fontId="10" fillId="0" borderId="0" xfId="1" applyNumberFormat="1" applyFont="1"/>
    <xf numFmtId="0" fontId="7" fillId="3" borderId="0" xfId="1" applyFont="1" applyFill="1"/>
    <xf numFmtId="0" fontId="15" fillId="0" borderId="0" xfId="1" applyFont="1"/>
    <xf numFmtId="0" fontId="15" fillId="0" borderId="0" xfId="0" applyFont="1"/>
    <xf numFmtId="2" fontId="15" fillId="0" borderId="0" xfId="0" applyNumberFormat="1" applyFont="1"/>
    <xf numFmtId="0" fontId="7" fillId="3" borderId="0" xfId="0" applyFont="1" applyFill="1"/>
    <xf numFmtId="2" fontId="7" fillId="2" borderId="0" xfId="1" applyNumberFormat="1" applyFont="1" applyFill="1"/>
    <xf numFmtId="165" fontId="12" fillId="0" borderId="0" xfId="1" applyNumberFormat="1" applyFont="1"/>
    <xf numFmtId="174" fontId="17" fillId="0" borderId="0" xfId="1" applyNumberFormat="1" applyFont="1"/>
    <xf numFmtId="174" fontId="18" fillId="0" borderId="0" xfId="1" applyNumberFormat="1" applyFont="1"/>
    <xf numFmtId="4" fontId="7" fillId="0" borderId="0" xfId="1" applyNumberFormat="1" applyFont="1"/>
    <xf numFmtId="2" fontId="12" fillId="0" borderId="0" xfId="1" applyNumberFormat="1" applyFont="1"/>
    <xf numFmtId="4" fontId="12" fillId="3" borderId="0" xfId="1" applyNumberFormat="1" applyFont="1" applyFill="1"/>
    <xf numFmtId="167" fontId="7" fillId="0" borderId="0" xfId="1" applyNumberFormat="1" applyFont="1"/>
    <xf numFmtId="0" fontId="12" fillId="0" borderId="0" xfId="0" applyFont="1"/>
    <xf numFmtId="2" fontId="12" fillId="0" borderId="0" xfId="0" applyNumberFormat="1" applyFont="1"/>
    <xf numFmtId="3" fontId="7" fillId="3" borderId="0" xfId="1" applyNumberFormat="1" applyFont="1" applyFill="1"/>
    <xf numFmtId="174" fontId="7" fillId="4" borderId="0" xfId="1" applyNumberFormat="1" applyFont="1" applyFill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4" fontId="12" fillId="0" borderId="0" xfId="1" quotePrefix="1" applyNumberFormat="1" applyFont="1"/>
    <xf numFmtId="175" fontId="7" fillId="0" borderId="0" xfId="1" applyNumberFormat="1" applyFont="1"/>
    <xf numFmtId="4" fontId="7" fillId="0" borderId="0" xfId="1" quotePrefix="1" applyNumberFormat="1" applyFont="1"/>
    <xf numFmtId="9" fontId="7" fillId="0" borderId="0" xfId="0" applyNumberFormat="1" applyFont="1"/>
    <xf numFmtId="165" fontId="10" fillId="0" borderId="0" xfId="1" applyNumberFormat="1" applyFont="1"/>
    <xf numFmtId="165" fontId="7" fillId="2" borderId="0" xfId="1" applyNumberFormat="1" applyFont="1" applyFill="1"/>
    <xf numFmtId="166" fontId="7" fillId="2" borderId="0" xfId="1" applyNumberFormat="1" applyFont="1" applyFill="1"/>
    <xf numFmtId="4" fontId="2" fillId="0" borderId="0" xfId="0" applyNumberFormat="1" applyFont="1"/>
    <xf numFmtId="0" fontId="20" fillId="0" borderId="0" xfId="0" applyFont="1" applyBorder="1"/>
    <xf numFmtId="165" fontId="19" fillId="5" borderId="0" xfId="0" applyNumberFormat="1" applyFont="1" applyFill="1"/>
    <xf numFmtId="165" fontId="5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OUTPUT SPREAD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THAT JUSTIFIES SWITCHING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 FIRST OUTPUT VOLATILITY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[7]VOLATILITY!$B$42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[7]VOLATILITY!$C$7:$H$7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[7]VOLATILITY!$C$42:$H$42</c:f>
              <c:numCache>
                <c:formatCode>General</c:formatCode>
                <c:ptCount val="6"/>
                <c:pt idx="0">
                  <c:v>84.771570954692294</c:v>
                </c:pt>
                <c:pt idx="1">
                  <c:v>86.51244116256656</c:v>
                </c:pt>
                <c:pt idx="2">
                  <c:v>89.400917180780908</c:v>
                </c:pt>
                <c:pt idx="3">
                  <c:v>93.028607468719855</c:v>
                </c:pt>
                <c:pt idx="4">
                  <c:v>97.035670889165544</c:v>
                </c:pt>
                <c:pt idx="5">
                  <c:v>101.14482664785257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3-4504-955F-87A25CFA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03968"/>
        <c:axId val="136005888"/>
      </c:lineChart>
      <c:catAx>
        <c:axId val="1360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05888"/>
        <c:crosses val="autoZero"/>
        <c:auto val="1"/>
        <c:lblAlgn val="ctr"/>
        <c:lblOffset val="100"/>
        <c:noMultiLvlLbl val="0"/>
      </c:catAx>
      <c:valAx>
        <c:axId val="136005888"/>
        <c:scaling>
          <c:orientation val="minMax"/>
          <c:min val="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00396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INPUT SPREAD 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-y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THAT JUSTIFIES SWITCHING TO SHUT DOWN, OR OPERATING,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TO OUTPUT VOLATILITY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[8]VOLATILITY!$B$45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[8]VOLATILITY!$C$7:$H$7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[8]VOLATILITY!$C$45:$H$45</c:f>
              <c:numCache>
                <c:formatCode>General</c:formatCode>
                <c:ptCount val="6"/>
                <c:pt idx="0">
                  <c:v>84.771570943363031</c:v>
                </c:pt>
                <c:pt idx="1">
                  <c:v>86.512441162565921</c:v>
                </c:pt>
                <c:pt idx="2">
                  <c:v>89.400917180781818</c:v>
                </c:pt>
                <c:pt idx="3">
                  <c:v>93.028607475985027</c:v>
                </c:pt>
                <c:pt idx="4">
                  <c:v>97.035670889165004</c:v>
                </c:pt>
                <c:pt idx="5">
                  <c:v>101.14482664785261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2-4E73-9017-6E839360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49536"/>
        <c:axId val="135655808"/>
      </c:lineChart>
      <c:catAx>
        <c:axId val="1356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655808"/>
        <c:crosses val="autoZero"/>
        <c:auto val="1"/>
        <c:lblAlgn val="ctr"/>
        <c:lblOffset val="100"/>
        <c:noMultiLvlLbl val="0"/>
      </c:catAx>
      <c:valAx>
        <c:axId val="135655808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64953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Alternative Input </a:t>
            </a:r>
            <a:r>
              <a:rPr lang="en-US"/>
              <a:t>SPREAD that justifies Switching as a</a:t>
            </a:r>
            <a:r>
              <a:rPr lang="en-US" baseline="0"/>
              <a:t> function of </a:t>
            </a:r>
            <a:r>
              <a:rPr lang="en-US"/>
              <a:t>First INPUT Volatility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'[9]new INPUT Volatility'!$B$43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'[9]new INPUT Volatility'!$C$7:$H$7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'[9]new INPUT Volatility'!$C$43:$H$43</c:f>
              <c:numCache>
                <c:formatCode>General</c:formatCode>
                <c:ptCount val="6"/>
                <c:pt idx="0">
                  <c:v>56.085749362401558</c:v>
                </c:pt>
                <c:pt idx="1">
                  <c:v>56.900199739516943</c:v>
                </c:pt>
                <c:pt idx="2">
                  <c:v>58.355221437152736</c:v>
                </c:pt>
                <c:pt idx="3">
                  <c:v>60.195787603827711</c:v>
                </c:pt>
                <c:pt idx="4">
                  <c:v>62.197847485890804</c:v>
                </c:pt>
                <c:pt idx="5">
                  <c:v>64.187091541309726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3-4CBE-A1FF-C85CC250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5424"/>
        <c:axId val="136549888"/>
      </c:lineChart>
      <c:catAx>
        <c:axId val="1365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First</a:t>
                </a:r>
                <a:r>
                  <a:rPr lang="en-US" baseline="0"/>
                  <a:t> INPUT Volatility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549888"/>
        <c:crosses val="autoZero"/>
        <c:auto val="1"/>
        <c:lblAlgn val="ctr"/>
        <c:lblOffset val="100"/>
        <c:noMultiLvlLbl val="0"/>
      </c:catAx>
      <c:valAx>
        <c:axId val="136549888"/>
        <c:scaling>
          <c:orientation val="minMax"/>
          <c:max val="65"/>
          <c:min val="5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6535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9525</xdr:rowOff>
    </xdr:from>
    <xdr:to>
      <xdr:col>7</xdr:col>
      <xdr:colOff>600075</xdr:colOff>
      <xdr:row>71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180975</xdr:rowOff>
    </xdr:from>
    <xdr:to>
      <xdr:col>8</xdr:col>
      <xdr:colOff>0</xdr:colOff>
      <xdr:row>74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171450</xdr:rowOff>
    </xdr:from>
    <xdr:to>
      <xdr:col>8</xdr:col>
      <xdr:colOff>0</xdr:colOff>
      <xdr:row>62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F00/Real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CF02/RCF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REAL%20VALUE%20EXCEL%201_06_EXERCISES_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3_RO_PAYOFFS_10_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REAL_SCALE_SI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SCALE_JREFE_21_2_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/Documents/ROV_CASES/OUTPUT_SwitchFEB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6/RealOptions14/RealOptions11/ROV_SWITCH_FEB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ealOptions16/RealOptions14/ROV_SWITCH_FEB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ER"/>
      <sheetName val="APPROX_AMER_CALL"/>
    </sheetNames>
    <sheetDataSet>
      <sheetData sheetId="0">
        <row r="5">
          <cell r="B5">
            <v>110</v>
          </cell>
          <cell r="C5">
            <v>110</v>
          </cell>
          <cell r="D5">
            <v>110</v>
          </cell>
          <cell r="E5">
            <v>110</v>
          </cell>
          <cell r="F5">
            <v>110</v>
          </cell>
          <cell r="G5">
            <v>110</v>
          </cell>
          <cell r="H5">
            <v>110</v>
          </cell>
        </row>
        <row r="6"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B7">
            <v>0.5</v>
          </cell>
          <cell r="C7">
            <v>0.5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</row>
        <row r="8"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</row>
        <row r="9">
          <cell r="B9">
            <v>0.3</v>
          </cell>
          <cell r="C9">
            <v>0.3</v>
          </cell>
          <cell r="D9">
            <v>0.3</v>
          </cell>
          <cell r="E9">
            <v>0.3</v>
          </cell>
          <cell r="F9">
            <v>0.3</v>
          </cell>
          <cell r="G9">
            <v>0.3</v>
          </cell>
          <cell r="H9">
            <v>0.3</v>
          </cell>
        </row>
        <row r="10">
          <cell r="B10">
            <v>18.046947299962582</v>
          </cell>
          <cell r="C10">
            <v>18.046947299962582</v>
          </cell>
          <cell r="D10">
            <v>18.046947299962582</v>
          </cell>
          <cell r="E10">
            <v>18.046947299962582</v>
          </cell>
          <cell r="F10">
            <v>18.046947299962582</v>
          </cell>
          <cell r="G10">
            <v>18.046947299962582</v>
          </cell>
          <cell r="H10">
            <v>18.046947299962582</v>
          </cell>
        </row>
        <row r="13">
          <cell r="B13">
            <v>6.8144210607164191E-4</v>
          </cell>
          <cell r="C13">
            <v>1.0261741445188099E-2</v>
          </cell>
          <cell r="D13">
            <v>7.6886033707199264E-2</v>
          </cell>
          <cell r="E13">
            <v>0.36481618846633967</v>
          </cell>
          <cell r="F13">
            <v>1.229036620381649</v>
          </cell>
          <cell r="G13">
            <v>3.1704812902501942</v>
          </cell>
          <cell r="H13">
            <v>6.6304345586769244</v>
          </cell>
        </row>
        <row r="14">
          <cell r="B14">
            <v>18.046265857856511</v>
          </cell>
          <cell r="C14">
            <v>18.036685558517394</v>
          </cell>
          <cell r="D14">
            <v>17.970061266255382</v>
          </cell>
          <cell r="E14">
            <v>17.682131111496243</v>
          </cell>
          <cell r="F14">
            <v>16.817910679580933</v>
          </cell>
          <cell r="G14">
            <v>14.876466009712388</v>
          </cell>
          <cell r="H14">
            <v>11.416512741285658</v>
          </cell>
        </row>
        <row r="18">
          <cell r="B18">
            <v>0.78554696959090908</v>
          </cell>
          <cell r="C18">
            <v>0.78554696959090908</v>
          </cell>
          <cell r="D18">
            <v>0.78554696959090908</v>
          </cell>
          <cell r="E18">
            <v>0.78554696959090908</v>
          </cell>
          <cell r="F18">
            <v>0.78554696959090908</v>
          </cell>
          <cell r="G18">
            <v>0.78554696959090908</v>
          </cell>
          <cell r="H18">
            <v>0.78554696959090908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F02_GUIDE"/>
      <sheetName val="HOWELL_Fig2.2"/>
      <sheetName val="GROWTH"/>
      <sheetName val="ONE_STEP"/>
      <sheetName val="SIX_STEP"/>
      <sheetName val="LEASIMO"/>
      <sheetName val="CONSTROI"/>
      <sheetName val="SAMUELSON_MCKEAN"/>
      <sheetName val="CANARYWHARF"/>
      <sheetName val="CW_MODEL"/>
      <sheetName val="FOOT_MERCHANDISE"/>
      <sheetName val="STADIUM_USAGE"/>
      <sheetName val="STADIUM_LEASE"/>
      <sheetName val="PETRO_ROV"/>
      <sheetName val="SGT_POWER_ROV"/>
      <sheetName val="CCGT_POWEREXCH_ROV"/>
    </sheetNames>
    <sheetDataSet>
      <sheetData sheetId="0"/>
      <sheetData sheetId="1"/>
      <sheetData sheetId="2">
        <row r="6">
          <cell r="B6">
            <v>20000</v>
          </cell>
        </row>
        <row r="13">
          <cell r="B13">
            <v>60000</v>
          </cell>
        </row>
        <row r="14">
          <cell r="B14">
            <v>2</v>
          </cell>
        </row>
        <row r="15">
          <cell r="B15">
            <v>0.15</v>
          </cell>
        </row>
        <row r="22">
          <cell r="B22">
            <v>0.66297760844208942</v>
          </cell>
        </row>
        <row r="23">
          <cell r="B23">
            <v>0.17802976954183658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_REAL VALUE EXERCISES"/>
      <sheetName val="BINOMIAL_CALL"/>
      <sheetName val="BINOMIAL_PUT"/>
      <sheetName val="BINOMIAL_CALL_PUT"/>
      <sheetName val="CALLl_TIME"/>
      <sheetName val="CALL_VOLATILITY"/>
      <sheetName val="BLACK_SCHOLES"/>
      <sheetName val="DEFERRAL"/>
      <sheetName val="GROWTH"/>
      <sheetName val="EXCHANGE"/>
      <sheetName val="HEDGING1"/>
      <sheetName val="STRATEGY1"/>
      <sheetName val="STRATEGY2"/>
      <sheetName val="STRATEGY3"/>
      <sheetName val="STRATEGY4"/>
      <sheetName val="STRATEGY5"/>
      <sheetName val="SHARING"/>
      <sheetName val="SAMUELSON1"/>
      <sheetName val="SAMUELSON2"/>
      <sheetName val="VOLATILITY"/>
      <sheetName val="DELTA, GAMMA"/>
      <sheetName val="AMER_PERP"/>
      <sheetName val="HEDGING"/>
      <sheetName val="AM_PERP_MF"/>
      <sheetName val="AM_PERP_MF_Q"/>
      <sheetName val="AM_PERP_MF_CORR"/>
      <sheetName val="AM_PERP_EXCH"/>
      <sheetName val="AM_PERP_EXCH_CORR"/>
      <sheetName val="MARSHALL_INVEST"/>
      <sheetName val="MARSHALL_SENSE"/>
      <sheetName val="ENTRY_EXIT"/>
      <sheetName val="ComOption1"/>
      <sheetName val="ComOption2"/>
      <sheetName val="ComOption3"/>
      <sheetName val="Exercise 2.1"/>
      <sheetName val="Exercise 2.2"/>
      <sheetName val="Exercise 2.3"/>
      <sheetName val="Problem 2.4"/>
      <sheetName val="Problem 2.5"/>
      <sheetName val="Problem 2.6"/>
      <sheetName val="Exercise 3.1"/>
      <sheetName val="Exercise 3.2"/>
      <sheetName val="Exercise 3.3"/>
      <sheetName val="Problem 3.4"/>
      <sheetName val="Problem 3.5"/>
      <sheetName val="Problem 3.6"/>
      <sheetName val="Exercise 4.1"/>
      <sheetName val="Exercise 4.2"/>
      <sheetName val="Exercise 4.3"/>
      <sheetName val="Problem 4.4"/>
      <sheetName val="Problem 4.5"/>
      <sheetName val="Problem 4.6"/>
      <sheetName val="Exercise 5.1"/>
      <sheetName val="Exercise 5.2"/>
      <sheetName val="Exercise 5.3"/>
      <sheetName val="Problem 5.4"/>
      <sheetName val="Problem 5.5"/>
      <sheetName val="Problem 5.6"/>
      <sheetName val="QUIGG"/>
      <sheetName val="CASE1"/>
      <sheetName val="CASE2"/>
      <sheetName val="CASE4"/>
      <sheetName val="CASE6"/>
    </sheetNames>
    <sheetDataSet>
      <sheetData sheetId="0"/>
      <sheetData sheetId="1"/>
      <sheetData sheetId="2"/>
      <sheetData sheetId="3"/>
      <sheetData sheetId="4">
        <row r="5">
          <cell r="B5">
            <v>0.5</v>
          </cell>
          <cell r="C5">
            <v>1</v>
          </cell>
          <cell r="D5">
            <v>1.5</v>
          </cell>
          <cell r="E5">
            <v>2</v>
          </cell>
          <cell r="F5">
            <v>2.5</v>
          </cell>
          <cell r="G5">
            <v>3</v>
          </cell>
          <cell r="H5">
            <v>3.5</v>
          </cell>
          <cell r="I5">
            <v>4</v>
          </cell>
          <cell r="J5">
            <v>4.5</v>
          </cell>
          <cell r="K5">
            <v>5</v>
          </cell>
          <cell r="L5">
            <v>5.5</v>
          </cell>
          <cell r="M5">
            <v>6</v>
          </cell>
          <cell r="N5">
            <v>6.5</v>
          </cell>
        </row>
        <row r="6">
          <cell r="A6" t="str">
            <v>CALL PRICE</v>
          </cell>
          <cell r="B6">
            <v>15.127174226438719</v>
          </cell>
          <cell r="C6">
            <v>21.792599909495252</v>
          </cell>
          <cell r="D6">
            <v>26.96572636624488</v>
          </cell>
          <cell r="E6">
            <v>31.327681372697036</v>
          </cell>
          <cell r="F6">
            <v>35.14796655308978</v>
          </cell>
          <cell r="G6">
            <v>38.567827516156434</v>
          </cell>
          <cell r="H6">
            <v>41.673063441514209</v>
          </cell>
          <cell r="I6">
            <v>44.520869947624234</v>
          </cell>
          <cell r="J6">
            <v>47.151910614506249</v>
          </cell>
          <cell r="K6">
            <v>49.596497220189718</v>
          </cell>
          <cell r="L6">
            <v>51.878060097850948</v>
          </cell>
          <cell r="M6">
            <v>54.015237296537613</v>
          </cell>
          <cell r="N6">
            <v>56.023202727966634</v>
          </cell>
        </row>
      </sheetData>
      <sheetData sheetId="5">
        <row r="4">
          <cell r="B4">
            <v>0.05</v>
          </cell>
          <cell r="C4">
            <v>0.1</v>
          </cell>
          <cell r="D4">
            <v>0.15000000000000002</v>
          </cell>
          <cell r="E4">
            <v>0.2</v>
          </cell>
          <cell r="F4">
            <v>0.25</v>
          </cell>
          <cell r="G4">
            <v>0.3</v>
          </cell>
          <cell r="H4">
            <v>0.35</v>
          </cell>
          <cell r="I4">
            <v>0.39999999999999997</v>
          </cell>
          <cell r="J4">
            <v>0.44999999999999996</v>
          </cell>
          <cell r="K4">
            <v>0.49999999999999994</v>
          </cell>
          <cell r="L4">
            <v>0.54999999999999993</v>
          </cell>
          <cell r="M4">
            <v>0.6</v>
          </cell>
          <cell r="N4">
            <v>0.65</v>
          </cell>
        </row>
        <row r="6">
          <cell r="A6" t="str">
            <v>CALL PRICE</v>
          </cell>
          <cell r="B6">
            <v>5.2832670625505358</v>
          </cell>
          <cell r="C6">
            <v>6.8049628767414845</v>
          </cell>
          <cell r="D6">
            <v>8.5916594253844281</v>
          </cell>
          <cell r="E6">
            <v>10.450575629120408</v>
          </cell>
          <cell r="F6">
            <v>12.335985881706478</v>
          </cell>
          <cell r="G6">
            <v>14.231244950504234</v>
          </cell>
          <cell r="H6">
            <v>16.128427624240331</v>
          </cell>
          <cell r="I6">
            <v>18.022951531770786</v>
          </cell>
          <cell r="J6">
            <v>19.911767916894426</v>
          </cell>
          <cell r="K6">
            <v>21.792599909495252</v>
          </cell>
          <cell r="L6">
            <v>23.663603276554539</v>
          </cell>
          <cell r="M6">
            <v>25.523197290048806</v>
          </cell>
          <cell r="N6">
            <v>27.369974028454649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0</v>
          </cell>
        </row>
      </sheetData>
      <sheetData sheetId="19">
        <row r="7">
          <cell r="B7">
            <v>0.05</v>
          </cell>
        </row>
      </sheetData>
      <sheetData sheetId="20">
        <row r="8">
          <cell r="B8">
            <v>0.02</v>
          </cell>
          <cell r="C8">
            <v>2.5000000000000001E-2</v>
          </cell>
          <cell r="D8">
            <v>3.0000000000000002E-2</v>
          </cell>
          <cell r="E8">
            <v>3.5000000000000003E-2</v>
          </cell>
          <cell r="F8">
            <v>0.04</v>
          </cell>
          <cell r="G8">
            <v>4.4999999999999998E-2</v>
          </cell>
          <cell r="H8">
            <v>4.9999999999999996E-2</v>
          </cell>
          <cell r="I8">
            <v>5.4999999999999993E-2</v>
          </cell>
          <cell r="J8">
            <v>5.9999999999999991E-2</v>
          </cell>
        </row>
        <row r="24">
          <cell r="A24" t="str">
            <v>ROV</v>
          </cell>
          <cell r="B24">
            <v>0.19442768285708267</v>
          </cell>
          <cell r="C24">
            <v>0.2077116735186976</v>
          </cell>
          <cell r="D24">
            <v>0.22148883734991726</v>
          </cell>
          <cell r="E24">
            <v>0.23562979124734945</v>
          </cell>
          <cell r="F24">
            <v>0.25000000000000006</v>
          </cell>
          <cell r="G24">
            <v>0.26446883388207576</v>
          </cell>
          <cell r="H24">
            <v>0.27891679653772417</v>
          </cell>
          <cell r="I24">
            <v>0.29324023055242654</v>
          </cell>
          <cell r="J24">
            <v>0.30735350239315212</v>
          </cell>
        </row>
        <row r="25">
          <cell r="A25" t="str">
            <v>ROV D</v>
          </cell>
          <cell r="B25">
            <v>0.46938994885434387</v>
          </cell>
          <cell r="C25">
            <v>0.47664160339522865</v>
          </cell>
          <cell r="D25">
            <v>0.48420575342880573</v>
          </cell>
          <cell r="E25">
            <v>0.49201561910156022</v>
          </cell>
          <cell r="F25">
            <v>0.5</v>
          </cell>
          <cell r="G25">
            <v>0.5080881639981768</v>
          </cell>
          <cell r="H25">
            <v>0.51621392416888801</v>
          </cell>
          <cell r="I25">
            <v>0.52431846950067373</v>
          </cell>
          <cell r="J25">
            <v>0.53235188202918193</v>
          </cell>
        </row>
        <row r="26">
          <cell r="A26" t="str">
            <v>ROV G</v>
          </cell>
          <cell r="B26">
            <v>0.66381763171142649</v>
          </cell>
          <cell r="C26">
            <v>0.61712079444479317</v>
          </cell>
          <cell r="D26">
            <v>0.57433613273927842</v>
          </cell>
          <cell r="E26">
            <v>0.53535603945825139</v>
          </cell>
          <cell r="F26">
            <v>0.49999999999999989</v>
          </cell>
          <cell r="G26">
            <v>0.46803283523512618</v>
          </cell>
          <cell r="H26">
            <v>0.4391850292598663</v>
          </cell>
          <cell r="I26">
            <v>0.41317178189366754</v>
          </cell>
          <cell r="J26">
            <v>0.38970862515027427</v>
          </cell>
        </row>
      </sheetData>
      <sheetData sheetId="21"/>
      <sheetData sheetId="22"/>
      <sheetData sheetId="23"/>
      <sheetData sheetId="24">
        <row r="4">
          <cell r="B4">
            <v>0</v>
          </cell>
        </row>
      </sheetData>
      <sheetData sheetId="25">
        <row r="9">
          <cell r="B9">
            <v>-0.8</v>
          </cell>
        </row>
      </sheetData>
      <sheetData sheetId="26"/>
      <sheetData sheetId="27">
        <row r="9">
          <cell r="B9">
            <v>-1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dging"/>
      <sheetName val="Strategy1"/>
      <sheetName val="Strategy2"/>
      <sheetName val="Strategy3"/>
      <sheetName val="Strategy4"/>
      <sheetName val="Strategy5"/>
      <sheetName val="CITY_SHARING"/>
      <sheetName val="SALFORD_TRI_CHANGE"/>
      <sheetName val="MARIA_EXERCISE2A"/>
    </sheetNames>
    <sheetDataSet>
      <sheetData sheetId="0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SHORT FUTURES POSITION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STRATEGY RESULT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</sheetData>
      <sheetData sheetId="1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WRITE REAL CALL INTRINSIC</v>
          </cell>
          <cell r="B3">
            <v>25</v>
          </cell>
          <cell r="C3">
            <v>25</v>
          </cell>
          <cell r="D3">
            <v>25</v>
          </cell>
          <cell r="E3">
            <v>25</v>
          </cell>
          <cell r="F3">
            <v>25</v>
          </cell>
          <cell r="G3">
            <v>25</v>
          </cell>
          <cell r="H3">
            <v>25</v>
          </cell>
          <cell r="I3">
            <v>0</v>
          </cell>
          <cell r="J3">
            <v>-25</v>
          </cell>
          <cell r="K3">
            <v>-50</v>
          </cell>
          <cell r="L3">
            <v>-75</v>
          </cell>
          <cell r="M3">
            <v>-100</v>
          </cell>
          <cell r="N3">
            <v>-125</v>
          </cell>
        </row>
        <row r="4">
          <cell r="A4" t="str">
            <v>STRATEGY RESULT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</sheetData>
      <sheetData sheetId="2">
        <row r="2">
          <cell r="B2">
            <v>-150</v>
          </cell>
        </row>
      </sheetData>
      <sheetData sheetId="3">
        <row r="2">
          <cell r="A2" t="str">
            <v>OWN ASSET-DEBT</v>
          </cell>
        </row>
      </sheetData>
      <sheetData sheetId="4">
        <row r="2"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REQUIRE USE OF NET ASSET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WRITE REAL PUT INTRINSIC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  <row r="5">
          <cell r="A5" t="str">
            <v>STRATEGY RESULT</v>
          </cell>
          <cell r="B5">
            <v>25</v>
          </cell>
          <cell r="C5">
            <v>25</v>
          </cell>
          <cell r="D5">
            <v>25</v>
          </cell>
          <cell r="E5">
            <v>25</v>
          </cell>
          <cell r="F5">
            <v>25</v>
          </cell>
          <cell r="G5">
            <v>25</v>
          </cell>
          <cell r="H5">
            <v>25</v>
          </cell>
          <cell r="I5">
            <v>0</v>
          </cell>
          <cell r="J5">
            <v>-25</v>
          </cell>
          <cell r="K5">
            <v>-50</v>
          </cell>
          <cell r="L5">
            <v>-75</v>
          </cell>
          <cell r="M5">
            <v>-100</v>
          </cell>
          <cell r="N5">
            <v>-125</v>
          </cell>
        </row>
      </sheetData>
      <sheetData sheetId="5"/>
      <sheetData sheetId="6">
        <row r="9">
          <cell r="B9">
            <v>0</v>
          </cell>
          <cell r="C9">
            <v>2000</v>
          </cell>
          <cell r="D9">
            <v>4000</v>
          </cell>
          <cell r="E9">
            <v>6000</v>
          </cell>
          <cell r="F9">
            <v>8000</v>
          </cell>
          <cell r="G9">
            <v>10000</v>
          </cell>
          <cell r="H9">
            <v>12000</v>
          </cell>
          <cell r="I9">
            <v>14000</v>
          </cell>
          <cell r="J9">
            <v>16000</v>
          </cell>
          <cell r="K9">
            <v>18000</v>
          </cell>
          <cell r="L9">
            <v>20000</v>
          </cell>
          <cell r="M9">
            <v>22000</v>
          </cell>
          <cell r="N9">
            <v>24000</v>
          </cell>
          <cell r="O9">
            <v>26000</v>
          </cell>
          <cell r="P9">
            <v>28000</v>
          </cell>
          <cell r="Q9">
            <v>30000</v>
          </cell>
          <cell r="R9">
            <v>32000</v>
          </cell>
          <cell r="S9">
            <v>34000</v>
          </cell>
          <cell r="T9">
            <v>36000</v>
          </cell>
          <cell r="U9">
            <v>38000</v>
          </cell>
          <cell r="V9">
            <v>40000</v>
          </cell>
          <cell r="W9">
            <v>42000</v>
          </cell>
          <cell r="X9">
            <v>44000</v>
          </cell>
          <cell r="Y9">
            <v>46000</v>
          </cell>
          <cell r="Z9">
            <v>48000</v>
          </cell>
        </row>
        <row r="11">
          <cell r="A11" t="str">
            <v>MAN CITY</v>
          </cell>
          <cell r="B11">
            <v>-68000</v>
          </cell>
          <cell r="C11">
            <v>-28000</v>
          </cell>
          <cell r="D11">
            <v>12000</v>
          </cell>
          <cell r="E11">
            <v>52000</v>
          </cell>
          <cell r="F11">
            <v>92000</v>
          </cell>
          <cell r="G11">
            <v>132000</v>
          </cell>
          <cell r="H11">
            <v>172000</v>
          </cell>
          <cell r="I11">
            <v>212000</v>
          </cell>
          <cell r="J11">
            <v>252000</v>
          </cell>
          <cell r="K11">
            <v>292000</v>
          </cell>
          <cell r="L11">
            <v>332000</v>
          </cell>
          <cell r="M11">
            <v>372000</v>
          </cell>
          <cell r="N11">
            <v>412000</v>
          </cell>
          <cell r="O11">
            <v>452000</v>
          </cell>
          <cell r="P11">
            <v>492000</v>
          </cell>
          <cell r="Q11">
            <v>532000</v>
          </cell>
          <cell r="R11">
            <v>572000</v>
          </cell>
          <cell r="S11">
            <v>612000</v>
          </cell>
          <cell r="T11">
            <v>652000</v>
          </cell>
          <cell r="U11">
            <v>692000</v>
          </cell>
          <cell r="V11">
            <v>732000</v>
          </cell>
          <cell r="W11">
            <v>772000</v>
          </cell>
          <cell r="X11">
            <v>812000</v>
          </cell>
          <cell r="Y11">
            <v>852000</v>
          </cell>
          <cell r="Z11">
            <v>892000</v>
          </cell>
        </row>
        <row r="12">
          <cell r="A12" t="str">
            <v>COUNCIL</v>
          </cell>
          <cell r="B12">
            <v>68000</v>
          </cell>
          <cell r="C12">
            <v>68000</v>
          </cell>
          <cell r="D12">
            <v>68000</v>
          </cell>
          <cell r="E12">
            <v>68000</v>
          </cell>
          <cell r="F12">
            <v>68000</v>
          </cell>
          <cell r="G12">
            <v>68000</v>
          </cell>
          <cell r="H12">
            <v>68000</v>
          </cell>
          <cell r="I12">
            <v>68000</v>
          </cell>
          <cell r="J12">
            <v>68000</v>
          </cell>
          <cell r="K12">
            <v>68000</v>
          </cell>
          <cell r="L12">
            <v>68000</v>
          </cell>
          <cell r="M12">
            <v>68000</v>
          </cell>
          <cell r="N12">
            <v>68000</v>
          </cell>
          <cell r="O12">
            <v>68000</v>
          </cell>
          <cell r="P12">
            <v>68000</v>
          </cell>
          <cell r="Q12">
            <v>68000</v>
          </cell>
          <cell r="R12">
            <v>68000</v>
          </cell>
          <cell r="S12">
            <v>68000</v>
          </cell>
          <cell r="T12">
            <v>68000</v>
          </cell>
          <cell r="U12">
            <v>68000</v>
          </cell>
          <cell r="V12">
            <v>68000</v>
          </cell>
          <cell r="W12">
            <v>68000</v>
          </cell>
          <cell r="X12">
            <v>68000</v>
          </cell>
          <cell r="Y12">
            <v>68000</v>
          </cell>
          <cell r="Z12">
            <v>68000</v>
          </cell>
        </row>
        <row r="13">
          <cell r="A13" t="str">
            <v>MAN CITY(-)</v>
          </cell>
          <cell r="B13">
            <v>0</v>
          </cell>
          <cell r="C13">
            <v>40000</v>
          </cell>
          <cell r="D13">
            <v>80000</v>
          </cell>
          <cell r="E13">
            <v>120000</v>
          </cell>
          <cell r="F13">
            <v>160000</v>
          </cell>
          <cell r="G13">
            <v>200000</v>
          </cell>
          <cell r="H13">
            <v>240000</v>
          </cell>
          <cell r="I13">
            <v>280000</v>
          </cell>
          <cell r="J13">
            <v>320000</v>
          </cell>
          <cell r="K13">
            <v>360000</v>
          </cell>
          <cell r="L13">
            <v>400000</v>
          </cell>
          <cell r="M13">
            <v>440000</v>
          </cell>
          <cell r="N13">
            <v>480000</v>
          </cell>
          <cell r="O13">
            <v>520000</v>
          </cell>
          <cell r="P13">
            <v>560000</v>
          </cell>
          <cell r="Q13">
            <v>600000</v>
          </cell>
          <cell r="R13">
            <v>640000</v>
          </cell>
          <cell r="S13">
            <v>408000</v>
          </cell>
          <cell r="T13">
            <v>432000</v>
          </cell>
          <cell r="U13">
            <v>456000</v>
          </cell>
          <cell r="V13">
            <v>480000</v>
          </cell>
          <cell r="W13">
            <v>504000</v>
          </cell>
          <cell r="X13">
            <v>528000</v>
          </cell>
          <cell r="Y13">
            <v>552000</v>
          </cell>
          <cell r="Z13">
            <v>576000</v>
          </cell>
        </row>
        <row r="14">
          <cell r="A14" t="str">
            <v>COUNCIL(+)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272000</v>
          </cell>
          <cell r="T14">
            <v>288000</v>
          </cell>
          <cell r="U14">
            <v>304000</v>
          </cell>
          <cell r="V14">
            <v>320000</v>
          </cell>
          <cell r="W14">
            <v>336000</v>
          </cell>
          <cell r="X14">
            <v>352000</v>
          </cell>
          <cell r="Y14">
            <v>368000</v>
          </cell>
          <cell r="Z14">
            <v>384000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HALL"/>
      <sheetName val="SENSITIVITIES"/>
      <sheetName val="DIXIT1"/>
      <sheetName val="DIXIT2"/>
    </sheetNames>
    <sheetDataSet>
      <sheetData sheetId="0"/>
      <sheetData sheetId="1">
        <row r="5">
          <cell r="B5">
            <v>0.70000000000000007</v>
          </cell>
        </row>
        <row r="23"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</row>
        <row r="35">
          <cell r="A35" t="str">
            <v xml:space="preserve"> WH-WL</v>
          </cell>
          <cell r="B35">
            <v>1.08</v>
          </cell>
          <cell r="C35">
            <v>1.1200000000000001</v>
          </cell>
          <cell r="D35">
            <v>1.1599999999999999</v>
          </cell>
          <cell r="E35">
            <v>1.2</v>
          </cell>
          <cell r="F35">
            <v>1.24</v>
          </cell>
          <cell r="G35">
            <v>1.28</v>
          </cell>
          <cell r="H35">
            <v>1.32</v>
          </cell>
        </row>
        <row r="36">
          <cell r="A36" t="str">
            <v xml:space="preserve"> PH-PL</v>
          </cell>
          <cell r="B36">
            <v>2.16</v>
          </cell>
          <cell r="C36">
            <v>2.2400000000000002</v>
          </cell>
          <cell r="D36">
            <v>2.3199999999999998</v>
          </cell>
          <cell r="E36">
            <v>2.4</v>
          </cell>
          <cell r="F36">
            <v>2.48</v>
          </cell>
          <cell r="G36">
            <v>2.56</v>
          </cell>
          <cell r="H36">
            <v>2.64</v>
          </cell>
        </row>
        <row r="96">
          <cell r="B96">
            <v>0.14000000000000004</v>
          </cell>
          <cell r="C96">
            <v>0.16000000000000003</v>
          </cell>
          <cell r="D96">
            <v>0.18000000000000002</v>
          </cell>
          <cell r="E96">
            <v>0.2</v>
          </cell>
          <cell r="F96">
            <v>0.22</v>
          </cell>
          <cell r="G96">
            <v>0.24</v>
          </cell>
          <cell r="H96">
            <v>0.26</v>
          </cell>
        </row>
        <row r="103">
          <cell r="A103" t="str">
            <v xml:space="preserve"> WH-WL</v>
          </cell>
          <cell r="B103">
            <v>1.2</v>
          </cell>
          <cell r="C103">
            <v>1.2</v>
          </cell>
          <cell r="D103">
            <v>1.2</v>
          </cell>
          <cell r="E103">
            <v>1.2</v>
          </cell>
          <cell r="F103">
            <v>1.2</v>
          </cell>
          <cell r="G103">
            <v>1.2</v>
          </cell>
          <cell r="H103">
            <v>1.2</v>
          </cell>
        </row>
        <row r="104">
          <cell r="A104" t="str">
            <v xml:space="preserve"> PH-PL</v>
          </cell>
          <cell r="B104">
            <v>1.9588896959420055</v>
          </cell>
          <cell r="C104">
            <v>2.0974530459215557</v>
          </cell>
          <cell r="D104">
            <v>2.2444043923014148</v>
          </cell>
          <cell r="E104">
            <v>2.4</v>
          </cell>
          <cell r="F104">
            <v>2.564483399762572</v>
          </cell>
          <cell r="G104">
            <v>2.7380849876930795</v>
          </cell>
          <cell r="H104">
            <v>2.9210218284693243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_ONLY"/>
      <sheetName val="FIG8.5_8.6"/>
      <sheetName val="FIG8.7"/>
      <sheetName val="FIG8.9"/>
      <sheetName val="Table 1C"/>
      <sheetName val="Table 4A"/>
      <sheetName val="No_Reverts"/>
    </sheetNames>
    <sheetDataSet>
      <sheetData sheetId="0">
        <row r="5">
          <cell r="B5">
            <v>1</v>
          </cell>
          <cell r="C5">
            <v>2.5</v>
          </cell>
          <cell r="D5">
            <v>5</v>
          </cell>
          <cell r="E5">
            <v>7.5</v>
          </cell>
          <cell r="F5">
            <v>10</v>
          </cell>
          <cell r="G5">
            <v>12.5</v>
          </cell>
          <cell r="H5">
            <v>15</v>
          </cell>
          <cell r="I5">
            <v>17.5</v>
          </cell>
          <cell r="J5">
            <v>20</v>
          </cell>
        </row>
        <row r="15">
          <cell r="A15" t="str">
            <v>Option to Invest</v>
          </cell>
          <cell r="B15">
            <v>9.539285350502567</v>
          </cell>
          <cell r="C15">
            <v>32.367005256412355</v>
          </cell>
          <cell r="D15">
            <v>81.559742489223837</v>
          </cell>
          <cell r="E15">
            <v>140.04389826959502</v>
          </cell>
          <cell r="F15">
            <v>205.51767277235692</v>
          </cell>
          <cell r="G15">
            <v>276.73400227211681</v>
          </cell>
          <cell r="H15">
            <v>352.88851067839806</v>
          </cell>
          <cell r="I15">
            <v>433.41097553564333</v>
          </cell>
          <cell r="J15">
            <v>517.87208410259757</v>
          </cell>
        </row>
        <row r="16">
          <cell r="A16" t="str">
            <v>NPV</v>
          </cell>
          <cell r="B16">
            <v>-116.66666666666666</v>
          </cell>
          <cell r="C16">
            <v>-66.666666666666657</v>
          </cell>
          <cell r="D16">
            <v>16.666666666666686</v>
          </cell>
          <cell r="E16">
            <v>100</v>
          </cell>
          <cell r="F16">
            <v>183.33333333333337</v>
          </cell>
          <cell r="G16">
            <v>266.66666666666669</v>
          </cell>
          <cell r="H16">
            <v>350</v>
          </cell>
          <cell r="I16">
            <v>433.33333333333337</v>
          </cell>
          <cell r="J16">
            <v>516.66666666666674</v>
          </cell>
        </row>
      </sheetData>
      <sheetData sheetId="1">
        <row r="5">
          <cell r="C5">
            <v>1</v>
          </cell>
          <cell r="D5">
            <v>2.5</v>
          </cell>
          <cell r="E5">
            <v>5</v>
          </cell>
          <cell r="F5">
            <v>7.5</v>
          </cell>
          <cell r="G5">
            <v>10</v>
          </cell>
          <cell r="H5">
            <v>12.5</v>
          </cell>
          <cell r="I5">
            <v>15</v>
          </cell>
          <cell r="J5">
            <v>17.5</v>
          </cell>
          <cell r="K5">
            <v>20</v>
          </cell>
        </row>
        <row r="32">
          <cell r="B32" t="str">
            <v>OPTION TO INVEST</v>
          </cell>
          <cell r="C32">
            <v>9.5672592213042442</v>
          </cell>
          <cell r="D32">
            <v>32.461921216047884</v>
          </cell>
          <cell r="E32">
            <v>81.798915720255394</v>
          </cell>
          <cell r="F32">
            <v>140.45457577559401</v>
          </cell>
          <cell r="G32">
            <v>206.12035154905291</v>
          </cell>
          <cell r="H32">
            <v>277.54552231177922</v>
          </cell>
          <cell r="I32">
            <v>353.92335314745083</v>
          </cell>
          <cell r="J32">
            <v>434.68194942815018</v>
          </cell>
          <cell r="K32">
            <v>516.66666666666674</v>
          </cell>
        </row>
        <row r="33">
          <cell r="B33" t="str">
            <v>OPTION TO ABANDON</v>
          </cell>
          <cell r="C33">
            <v>23.330194606438006</v>
          </cell>
          <cell r="D33">
            <v>9.3320778425752042</v>
          </cell>
          <cell r="E33">
            <v>4.666038921287603</v>
          </cell>
          <cell r="F33">
            <v>3.1106926141917355</v>
          </cell>
          <cell r="G33">
            <v>2.3330194606438011</v>
          </cell>
          <cell r="H33">
            <v>1.8664155685150408</v>
          </cell>
          <cell r="I33">
            <v>1.5553463070958677</v>
          </cell>
          <cell r="J33">
            <v>1.3331539775107433</v>
          </cell>
          <cell r="K33">
            <v>1.1665097303219008</v>
          </cell>
        </row>
        <row r="34">
          <cell r="B34" t="str">
            <v>PV-I</v>
          </cell>
          <cell r="C34">
            <v>-116.66666666666666</v>
          </cell>
          <cell r="D34">
            <v>-66.666666666666657</v>
          </cell>
          <cell r="E34">
            <v>16.666666666666686</v>
          </cell>
          <cell r="F34">
            <v>100</v>
          </cell>
          <cell r="G34">
            <v>183.33333333333337</v>
          </cell>
          <cell r="H34">
            <v>266.66666666666669</v>
          </cell>
          <cell r="I34">
            <v>350</v>
          </cell>
          <cell r="J34">
            <v>433.33333333333337</v>
          </cell>
          <cell r="K34">
            <v>516.66666666666674</v>
          </cell>
        </row>
      </sheetData>
      <sheetData sheetId="2">
        <row r="11">
          <cell r="C11">
            <v>0.1</v>
          </cell>
          <cell r="D11">
            <v>0.15000000000000002</v>
          </cell>
          <cell r="E11">
            <v>0.2</v>
          </cell>
          <cell r="F11">
            <v>0.25</v>
          </cell>
          <cell r="G11">
            <v>0.3</v>
          </cell>
          <cell r="H11">
            <v>0.35</v>
          </cell>
          <cell r="I11">
            <v>0.39999999999999997</v>
          </cell>
          <cell r="J11">
            <v>0.44999999999999996</v>
          </cell>
          <cell r="K11">
            <v>0.49999999999999994</v>
          </cell>
        </row>
        <row r="30">
          <cell r="B30" t="str">
            <v>OPTION TO INVEST</v>
          </cell>
          <cell r="C30">
            <v>53.719975802777675</v>
          </cell>
          <cell r="D30">
            <v>60.45404399759596</v>
          </cell>
          <cell r="E30">
            <v>67.646831095879946</v>
          </cell>
          <cell r="F30">
            <v>74.840439144528261</v>
          </cell>
          <cell r="G30">
            <v>81.798923527490984</v>
          </cell>
          <cell r="H30">
            <v>88.384243940103701</v>
          </cell>
          <cell r="I30">
            <v>94.522068356407303</v>
          </cell>
          <cell r="J30">
            <v>100.18035974059863</v>
          </cell>
          <cell r="K30">
            <v>105.18735242822268</v>
          </cell>
        </row>
        <row r="31">
          <cell r="B31" t="str">
            <v>OPTION TO ABANDON</v>
          </cell>
          <cell r="C31">
            <v>1.0801079241358322E-3</v>
          </cell>
          <cell r="D31">
            <v>0.1249527284861531</v>
          </cell>
          <cell r="E31">
            <v>0.86254339905425315</v>
          </cell>
          <cell r="F31">
            <v>2.4382961241796473</v>
          </cell>
          <cell r="G31">
            <v>4.6659267556049953</v>
          </cell>
          <cell r="H31">
            <v>7.2704157613963947</v>
          </cell>
          <cell r="I31">
            <v>10.025371919185332</v>
          </cell>
          <cell r="J31">
            <v>12.776971156492859</v>
          </cell>
          <cell r="K31">
            <v>15.418892567971616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_OUTPUTS"/>
      <sheetName val="VOLATILITY"/>
      <sheetName val="SINGLE"/>
    </sheetNames>
    <sheetDataSet>
      <sheetData sheetId="0"/>
      <sheetData sheetId="1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2">
          <cell r="B42" t="str">
            <v>SPREAD y12-y21</v>
          </cell>
          <cell r="C42">
            <v>84.771570954692294</v>
          </cell>
          <cell r="D42">
            <v>86.51244116256656</v>
          </cell>
          <cell r="E42">
            <v>89.400917180780908</v>
          </cell>
          <cell r="F42">
            <v>93.028607468719855</v>
          </cell>
          <cell r="G42">
            <v>97.035670889165544</v>
          </cell>
          <cell r="H42">
            <v>101.14482664785257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COMPARISON"/>
      <sheetName val="INPUT"/>
      <sheetName val="INPUT_VOLATILITY"/>
      <sheetName val="INPUT_SINGLE"/>
    </sheetNames>
    <sheetDataSet>
      <sheetData sheetId="0"/>
      <sheetData sheetId="1"/>
      <sheetData sheetId="2"/>
      <sheetData sheetId="3"/>
      <sheetData sheetId="4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5">
          <cell r="B45" t="str">
            <v>SPREAD y12-y21</v>
          </cell>
          <cell r="C45">
            <v>84.771570943363031</v>
          </cell>
          <cell r="D45">
            <v>86.512441162565921</v>
          </cell>
          <cell r="E45">
            <v>89.400917180781818</v>
          </cell>
          <cell r="F45">
            <v>93.028607475985027</v>
          </cell>
          <cell r="G45">
            <v>97.035670889165004</v>
          </cell>
          <cell r="H45">
            <v>101.14482664785261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new INPUT"/>
      <sheetName val="new INPUT SINGLE"/>
      <sheetName val="new INPUT Volatility"/>
      <sheetName val="COMPARISON"/>
    </sheetNames>
    <sheetDataSet>
      <sheetData sheetId="0"/>
      <sheetData sheetId="1"/>
      <sheetData sheetId="2"/>
      <sheetData sheetId="3">
        <row r="22">
          <cell r="E22">
            <v>1250</v>
          </cell>
        </row>
      </sheetData>
      <sheetData sheetId="4"/>
      <sheetData sheetId="5"/>
      <sheetData sheetId="6"/>
      <sheetData sheetId="7"/>
      <sheetData sheetId="8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3">
          <cell r="B43" t="str">
            <v>SPREAD y12-y21</v>
          </cell>
          <cell r="C43">
            <v>56.085749362401558</v>
          </cell>
          <cell r="D43">
            <v>56.900199739516943</v>
          </cell>
          <cell r="E43">
            <v>58.355221437152736</v>
          </cell>
          <cell r="F43">
            <v>60.195787603827711</v>
          </cell>
          <cell r="G43">
            <v>62.197847485890804</v>
          </cell>
          <cell r="H43">
            <v>64.187091541309726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opLeftCell="A75" zoomScaleNormal="100" workbookViewId="0">
      <selection activeCell="A101" sqref="A101"/>
    </sheetView>
  </sheetViews>
  <sheetFormatPr defaultRowHeight="12.5"/>
  <cols>
    <col min="1" max="1" width="10.26953125" bestFit="1" customWidth="1"/>
    <col min="4" max="4" width="33.453125" customWidth="1"/>
  </cols>
  <sheetData>
    <row r="1" spans="1:10" ht="15.5">
      <c r="C1" s="7" t="s">
        <v>95</v>
      </c>
      <c r="E1" s="7"/>
      <c r="F1" s="7"/>
      <c r="G1" s="7"/>
      <c r="H1" s="7"/>
      <c r="I1" s="7"/>
      <c r="J1" s="7"/>
    </row>
    <row r="2" spans="1:10" ht="13">
      <c r="A2" t="s">
        <v>93</v>
      </c>
      <c r="B2" t="s">
        <v>5</v>
      </c>
      <c r="C2" t="s">
        <v>6</v>
      </c>
      <c r="D2" s="8" t="s">
        <v>28</v>
      </c>
      <c r="E2" s="5" t="s">
        <v>304</v>
      </c>
    </row>
    <row r="3" spans="1:10">
      <c r="B3" s="13">
        <v>1.1000000000000001</v>
      </c>
      <c r="C3" s="13">
        <v>5</v>
      </c>
      <c r="D3" t="s">
        <v>29</v>
      </c>
      <c r="E3" t="s">
        <v>75</v>
      </c>
    </row>
    <row r="4" spans="1:10">
      <c r="B4" s="13">
        <v>1.2</v>
      </c>
      <c r="C4" s="13">
        <v>6</v>
      </c>
      <c r="D4" t="s">
        <v>30</v>
      </c>
      <c r="E4" t="s">
        <v>76</v>
      </c>
    </row>
    <row r="5" spans="1:10" ht="13">
      <c r="A5" t="s">
        <v>93</v>
      </c>
      <c r="B5" s="13"/>
      <c r="C5" s="13"/>
      <c r="D5" s="8" t="s">
        <v>31</v>
      </c>
      <c r="E5" s="5" t="s">
        <v>300</v>
      </c>
    </row>
    <row r="6" spans="1:10">
      <c r="B6" s="13">
        <v>2.1</v>
      </c>
      <c r="C6" s="13">
        <v>14</v>
      </c>
      <c r="D6" s="15" t="s">
        <v>13</v>
      </c>
      <c r="E6" t="s">
        <v>16</v>
      </c>
    </row>
    <row r="7" spans="1:10">
      <c r="B7" s="13">
        <v>2.2000000000000002</v>
      </c>
      <c r="C7" s="13">
        <v>15</v>
      </c>
      <c r="D7" s="15" t="s">
        <v>14</v>
      </c>
      <c r="E7" t="s">
        <v>15</v>
      </c>
    </row>
    <row r="8" spans="1:10">
      <c r="B8" s="13">
        <v>2.2999999999999998</v>
      </c>
      <c r="C8" s="13">
        <v>16</v>
      </c>
      <c r="D8" t="s">
        <v>32</v>
      </c>
      <c r="E8" s="4" t="s">
        <v>33</v>
      </c>
    </row>
    <row r="9" spans="1:10">
      <c r="B9" s="13">
        <v>2.4</v>
      </c>
      <c r="C9" s="13">
        <v>18</v>
      </c>
      <c r="D9" t="s">
        <v>77</v>
      </c>
      <c r="E9" s="4" t="s">
        <v>78</v>
      </c>
    </row>
    <row r="10" spans="1:10">
      <c r="B10" s="13">
        <v>2.5</v>
      </c>
      <c r="C10" s="13">
        <v>18</v>
      </c>
      <c r="D10" t="s">
        <v>79</v>
      </c>
      <c r="E10" s="4" t="s">
        <v>80</v>
      </c>
    </row>
    <row r="11" spans="1:10">
      <c r="B11" s="13">
        <v>2.6</v>
      </c>
      <c r="C11" s="13">
        <v>19</v>
      </c>
      <c r="D11" t="s">
        <v>34</v>
      </c>
      <c r="E11" t="s">
        <v>35</v>
      </c>
    </row>
    <row r="12" spans="1:10">
      <c r="B12" s="13">
        <v>2.7</v>
      </c>
      <c r="C12" s="13">
        <v>20</v>
      </c>
      <c r="D12" t="s">
        <v>36</v>
      </c>
      <c r="E12" t="str">
        <f>E11</f>
        <v>Basic Black-Scholes</v>
      </c>
    </row>
    <row r="13" spans="1:10">
      <c r="B13" s="13">
        <v>2.8</v>
      </c>
      <c r="C13" s="13">
        <v>22</v>
      </c>
      <c r="D13" t="s">
        <v>37</v>
      </c>
      <c r="E13" t="str">
        <f>E11</f>
        <v>Basic Black-Scholes</v>
      </c>
    </row>
    <row r="14" spans="1:10">
      <c r="B14" s="13">
        <v>2.9</v>
      </c>
      <c r="C14" s="13">
        <v>23</v>
      </c>
      <c r="D14" t="s">
        <v>38</v>
      </c>
      <c r="E14" t="s">
        <v>39</v>
      </c>
    </row>
    <row r="15" spans="1:10" ht="13">
      <c r="A15" t="s">
        <v>94</v>
      </c>
      <c r="B15" s="13"/>
      <c r="C15" s="13"/>
      <c r="D15" s="8" t="s">
        <v>40</v>
      </c>
      <c r="E15" s="5" t="s">
        <v>301</v>
      </c>
    </row>
    <row r="16" spans="1:10">
      <c r="B16" s="13">
        <v>3.1</v>
      </c>
      <c r="C16" s="13">
        <v>27</v>
      </c>
      <c r="D16" t="s">
        <v>41</v>
      </c>
      <c r="E16" s="4" t="s">
        <v>42</v>
      </c>
    </row>
    <row r="17" spans="1:5">
      <c r="B17" s="13">
        <v>3.2</v>
      </c>
      <c r="C17" s="13">
        <v>29</v>
      </c>
      <c r="D17" t="s">
        <v>43</v>
      </c>
      <c r="E17" s="4" t="s">
        <v>44</v>
      </c>
    </row>
    <row r="18" spans="1:5">
      <c r="B18" s="13">
        <v>3.3</v>
      </c>
      <c r="C18" s="13">
        <v>30</v>
      </c>
      <c r="D18" t="s">
        <v>45</v>
      </c>
      <c r="E18" s="4" t="s">
        <v>46</v>
      </c>
    </row>
    <row r="19" spans="1:5">
      <c r="B19" s="13">
        <v>3.4</v>
      </c>
      <c r="C19" s="13">
        <v>30</v>
      </c>
      <c r="D19" t="s">
        <v>47</v>
      </c>
      <c r="E19" s="4" t="s">
        <v>48</v>
      </c>
    </row>
    <row r="20" spans="1:5">
      <c r="B20" s="13">
        <v>3.5</v>
      </c>
      <c r="C20" s="13">
        <v>31</v>
      </c>
      <c r="D20" t="s">
        <v>49</v>
      </c>
      <c r="E20" s="4" t="s">
        <v>50</v>
      </c>
    </row>
    <row r="21" spans="1:5">
      <c r="B21" s="13">
        <v>3.6</v>
      </c>
      <c r="C21" s="13">
        <v>32</v>
      </c>
      <c r="D21" t="s">
        <v>51</v>
      </c>
      <c r="E21" s="4" t="s">
        <v>52</v>
      </c>
    </row>
    <row r="22" spans="1:5">
      <c r="B22" s="13">
        <v>3.7</v>
      </c>
      <c r="C22" s="13">
        <v>33</v>
      </c>
      <c r="D22" s="9" t="s">
        <v>104</v>
      </c>
      <c r="E22" s="4" t="s">
        <v>96</v>
      </c>
    </row>
    <row r="23" spans="1:5">
      <c r="B23" s="13">
        <v>3.8</v>
      </c>
      <c r="C23" s="13">
        <v>34</v>
      </c>
      <c r="D23" s="9" t="s">
        <v>105</v>
      </c>
      <c r="E23" s="16" t="s">
        <v>106</v>
      </c>
    </row>
    <row r="24" spans="1:5">
      <c r="B24" s="13">
        <v>3.9</v>
      </c>
      <c r="C24" s="13">
        <v>36</v>
      </c>
      <c r="D24" t="s">
        <v>53</v>
      </c>
      <c r="E24" t="s">
        <v>81</v>
      </c>
    </row>
    <row r="25" spans="1:5" ht="13">
      <c r="A25" s="9" t="s">
        <v>332</v>
      </c>
      <c r="B25" s="13"/>
      <c r="C25" s="13"/>
      <c r="D25" s="8" t="s">
        <v>54</v>
      </c>
      <c r="E25" s="6" t="s">
        <v>336</v>
      </c>
    </row>
    <row r="26" spans="1:5">
      <c r="B26" s="13">
        <v>4.0999999999999996</v>
      </c>
      <c r="C26" s="13">
        <v>39</v>
      </c>
      <c r="D26" t="s">
        <v>55</v>
      </c>
      <c r="E26" s="16" t="s">
        <v>340</v>
      </c>
    </row>
    <row r="27" spans="1:5">
      <c r="B27" s="13">
        <v>4.2</v>
      </c>
      <c r="C27" s="13">
        <v>39</v>
      </c>
      <c r="D27" t="s">
        <v>56</v>
      </c>
      <c r="E27" t="str">
        <f>E26</f>
        <v>American Perpetual Call Option</v>
      </c>
    </row>
    <row r="28" spans="1:5">
      <c r="B28" s="13">
        <v>4.3</v>
      </c>
      <c r="C28" s="13">
        <v>40</v>
      </c>
      <c r="D28" t="s">
        <v>25</v>
      </c>
      <c r="E28" t="s">
        <v>82</v>
      </c>
    </row>
    <row r="29" spans="1:5">
      <c r="B29" s="13">
        <v>4.4000000000000004</v>
      </c>
      <c r="C29" s="13">
        <v>41</v>
      </c>
      <c r="D29" t="s">
        <v>58</v>
      </c>
      <c r="E29" t="s">
        <v>83</v>
      </c>
    </row>
    <row r="30" spans="1:5">
      <c r="B30" s="13">
        <v>4.5</v>
      </c>
      <c r="C30" s="13">
        <v>45</v>
      </c>
      <c r="D30" t="s">
        <v>84</v>
      </c>
      <c r="E30" s="9" t="s">
        <v>337</v>
      </c>
    </row>
    <row r="31" spans="1:5">
      <c r="B31" s="13">
        <v>4.5999999999999996</v>
      </c>
      <c r="C31" s="13">
        <v>47</v>
      </c>
      <c r="D31" t="s">
        <v>59</v>
      </c>
      <c r="E31" t="s">
        <v>60</v>
      </c>
    </row>
    <row r="32" spans="1:5">
      <c r="B32" s="13">
        <v>4.7</v>
      </c>
      <c r="C32" s="13"/>
      <c r="D32" s="9" t="s">
        <v>338</v>
      </c>
      <c r="E32" s="16" t="s">
        <v>341</v>
      </c>
    </row>
    <row r="33" spans="1:5">
      <c r="B33" s="13">
        <v>4.8</v>
      </c>
      <c r="C33" s="13"/>
      <c r="D33" s="9" t="s">
        <v>339</v>
      </c>
      <c r="E33" s="16" t="s">
        <v>344</v>
      </c>
    </row>
    <row r="34" spans="1:5">
      <c r="B34" s="13">
        <v>4.9000000000000004</v>
      </c>
      <c r="C34" s="13"/>
      <c r="D34" s="9" t="s">
        <v>342</v>
      </c>
      <c r="E34" s="9" t="s">
        <v>343</v>
      </c>
    </row>
    <row r="35" spans="1:5" ht="13">
      <c r="A35" s="9" t="s">
        <v>312</v>
      </c>
      <c r="B35" s="13"/>
      <c r="C35" s="13"/>
      <c r="D35" s="8" t="s">
        <v>61</v>
      </c>
      <c r="E35" s="5" t="s">
        <v>334</v>
      </c>
    </row>
    <row r="36" spans="1:5">
      <c r="B36" s="13">
        <v>5.0999999999999996</v>
      </c>
      <c r="C36" s="13">
        <v>55</v>
      </c>
      <c r="D36" t="s">
        <v>85</v>
      </c>
      <c r="E36" t="s">
        <v>62</v>
      </c>
    </row>
    <row r="37" spans="1:5">
      <c r="B37" s="13">
        <v>5.2</v>
      </c>
      <c r="C37" s="13">
        <v>56</v>
      </c>
      <c r="D37" t="s">
        <v>86</v>
      </c>
      <c r="E37" t="s">
        <v>87</v>
      </c>
    </row>
    <row r="38" spans="1:5">
      <c r="B38" s="13">
        <v>5.3</v>
      </c>
      <c r="C38" s="13">
        <v>57</v>
      </c>
      <c r="D38" t="s">
        <v>88</v>
      </c>
      <c r="E38" t="s">
        <v>89</v>
      </c>
    </row>
    <row r="39" spans="1:5">
      <c r="B39" s="13">
        <v>5.4</v>
      </c>
      <c r="C39" s="13">
        <v>60</v>
      </c>
      <c r="D39" t="s">
        <v>90</v>
      </c>
      <c r="E39" t="s">
        <v>57</v>
      </c>
    </row>
    <row r="40" spans="1:5">
      <c r="B40" s="13">
        <v>5.5</v>
      </c>
      <c r="C40" s="13">
        <v>61</v>
      </c>
      <c r="D40" t="s">
        <v>91</v>
      </c>
      <c r="E40" t="s">
        <v>92</v>
      </c>
    </row>
    <row r="41" spans="1:5" ht="13">
      <c r="A41" s="9" t="s">
        <v>312</v>
      </c>
      <c r="B41" s="13"/>
      <c r="C41" s="13"/>
      <c r="D41" s="5" t="s">
        <v>268</v>
      </c>
      <c r="E41" s="5" t="s">
        <v>335</v>
      </c>
    </row>
    <row r="42" spans="1:5">
      <c r="B42" s="13">
        <v>6.1</v>
      </c>
      <c r="C42" s="62" t="s">
        <v>23</v>
      </c>
      <c r="D42" s="9" t="s">
        <v>269</v>
      </c>
    </row>
    <row r="43" spans="1:5">
      <c r="B43" s="13">
        <v>6.2</v>
      </c>
      <c r="C43" s="62" t="s">
        <v>23</v>
      </c>
      <c r="D43" s="9" t="s">
        <v>270</v>
      </c>
    </row>
    <row r="44" spans="1:5" ht="13">
      <c r="A44" s="9" t="s">
        <v>401</v>
      </c>
      <c r="B44" s="13"/>
      <c r="C44" s="13"/>
      <c r="D44" s="5" t="s">
        <v>271</v>
      </c>
      <c r="E44" s="5" t="s">
        <v>333</v>
      </c>
    </row>
    <row r="45" spans="1:5">
      <c r="A45" s="9"/>
      <c r="B45" s="13">
        <v>7.1</v>
      </c>
      <c r="C45" s="13"/>
      <c r="D45" s="9" t="s">
        <v>315</v>
      </c>
      <c r="E45" t="s">
        <v>316</v>
      </c>
    </row>
    <row r="46" spans="1:5">
      <c r="A46" s="9"/>
      <c r="B46" s="13">
        <v>7.2</v>
      </c>
      <c r="C46" s="13"/>
      <c r="D46" s="9" t="s">
        <v>317</v>
      </c>
      <c r="E46" t="s">
        <v>318</v>
      </c>
    </row>
    <row r="47" spans="1:5">
      <c r="A47" s="9"/>
      <c r="B47" s="13">
        <v>7.4</v>
      </c>
      <c r="C47" s="13" t="s">
        <v>23</v>
      </c>
      <c r="D47" s="9" t="s">
        <v>396</v>
      </c>
      <c r="E47" s="9" t="s">
        <v>397</v>
      </c>
    </row>
    <row r="48" spans="1:5">
      <c r="A48" s="9"/>
      <c r="B48" s="13">
        <v>7.5</v>
      </c>
      <c r="C48" s="13" t="s">
        <v>23</v>
      </c>
      <c r="D48" s="9" t="s">
        <v>398</v>
      </c>
      <c r="E48" s="9" t="s">
        <v>399</v>
      </c>
    </row>
    <row r="49" spans="1:5">
      <c r="B49" s="62" t="s">
        <v>23</v>
      </c>
      <c r="C49" s="62" t="s">
        <v>23</v>
      </c>
      <c r="D49" s="9" t="s">
        <v>319</v>
      </c>
      <c r="E49" s="9" t="s">
        <v>314</v>
      </c>
    </row>
    <row r="50" spans="1:5" ht="13">
      <c r="A50" s="9" t="s">
        <v>402</v>
      </c>
      <c r="B50" s="13"/>
      <c r="C50" s="13"/>
      <c r="D50" s="8" t="s">
        <v>67</v>
      </c>
      <c r="E50" s="5" t="s">
        <v>302</v>
      </c>
    </row>
    <row r="51" spans="1:5">
      <c r="B51" s="13">
        <v>8.1</v>
      </c>
      <c r="C51" s="13" t="s">
        <v>23</v>
      </c>
      <c r="D51" t="s">
        <v>63</v>
      </c>
      <c r="E51" t="s">
        <v>64</v>
      </c>
    </row>
    <row r="52" spans="1:5">
      <c r="B52" s="13" t="s">
        <v>289</v>
      </c>
      <c r="C52" s="13" t="s">
        <v>23</v>
      </c>
      <c r="D52" t="s">
        <v>65</v>
      </c>
      <c r="E52" t="s">
        <v>66</v>
      </c>
    </row>
    <row r="53" spans="1:5">
      <c r="B53" s="13" t="s">
        <v>23</v>
      </c>
      <c r="C53" s="13" t="s">
        <v>23</v>
      </c>
      <c r="D53" t="s">
        <v>290</v>
      </c>
      <c r="E53" t="s">
        <v>73</v>
      </c>
    </row>
    <row r="54" spans="1:5">
      <c r="B54" s="13">
        <v>8.4</v>
      </c>
      <c r="C54" s="13"/>
      <c r="D54" t="s">
        <v>291</v>
      </c>
      <c r="E54" t="s">
        <v>292</v>
      </c>
    </row>
    <row r="55" spans="1:5">
      <c r="B55" s="13" t="s">
        <v>288</v>
      </c>
      <c r="C55" s="13"/>
      <c r="D55" t="s">
        <v>19</v>
      </c>
      <c r="E55" t="s">
        <v>294</v>
      </c>
    </row>
    <row r="56" spans="1:5">
      <c r="B56" s="13">
        <v>8.6999999999999993</v>
      </c>
      <c r="C56" s="13" t="s">
        <v>23</v>
      </c>
      <c r="D56" t="s">
        <v>293</v>
      </c>
      <c r="E56" t="s">
        <v>295</v>
      </c>
    </row>
    <row r="57" spans="1:5">
      <c r="B57" s="13">
        <v>8.8000000000000007</v>
      </c>
      <c r="C57" s="13" t="s">
        <v>23</v>
      </c>
      <c r="D57" t="s">
        <v>20</v>
      </c>
      <c r="E57" t="s">
        <v>74</v>
      </c>
    </row>
    <row r="58" spans="1:5" ht="13">
      <c r="A58" s="9" t="s">
        <v>403</v>
      </c>
      <c r="B58" s="13"/>
      <c r="C58" s="13" t="s">
        <v>23</v>
      </c>
      <c r="D58" s="8" t="s">
        <v>68</v>
      </c>
      <c r="E58" s="5" t="s">
        <v>303</v>
      </c>
    </row>
    <row r="59" spans="1:5">
      <c r="B59" s="13">
        <v>9.1</v>
      </c>
      <c r="C59" s="13" t="s">
        <v>23</v>
      </c>
      <c r="D59" t="s">
        <v>21</v>
      </c>
      <c r="E59" t="s">
        <v>71</v>
      </c>
    </row>
    <row r="60" spans="1:5">
      <c r="B60" s="13">
        <v>9.1999999999999993</v>
      </c>
      <c r="C60" s="13" t="s">
        <v>23</v>
      </c>
      <c r="D60" t="s">
        <v>7</v>
      </c>
      <c r="E60" t="s">
        <v>296</v>
      </c>
    </row>
    <row r="61" spans="1:5">
      <c r="B61" s="13">
        <v>9.3000000000000007</v>
      </c>
      <c r="C61" s="13" t="s">
        <v>23</v>
      </c>
      <c r="D61" t="s">
        <v>8</v>
      </c>
      <c r="E61" t="s">
        <v>297</v>
      </c>
    </row>
    <row r="62" spans="1:5">
      <c r="B62" s="13">
        <v>9.4</v>
      </c>
      <c r="C62" s="13" t="s">
        <v>23</v>
      </c>
      <c r="D62" t="s">
        <v>70</v>
      </c>
      <c r="E62" t="s">
        <v>72</v>
      </c>
    </row>
    <row r="63" spans="1:5">
      <c r="B63" s="13">
        <v>9.5</v>
      </c>
      <c r="C63" s="13" t="s">
        <v>23</v>
      </c>
      <c r="D63" t="s">
        <v>10</v>
      </c>
      <c r="E63" t="s">
        <v>9</v>
      </c>
    </row>
    <row r="64" spans="1:5">
      <c r="B64" s="13">
        <v>9.6</v>
      </c>
      <c r="C64" s="13" t="s">
        <v>23</v>
      </c>
      <c r="D64" t="s">
        <v>22</v>
      </c>
      <c r="E64" t="s">
        <v>11</v>
      </c>
    </row>
    <row r="65" spans="1:5" ht="13">
      <c r="A65" s="9" t="s">
        <v>404</v>
      </c>
      <c r="B65" s="13"/>
      <c r="C65" s="13" t="s">
        <v>23</v>
      </c>
      <c r="D65" s="8" t="s">
        <v>69</v>
      </c>
      <c r="E65" s="5" t="s">
        <v>313</v>
      </c>
    </row>
    <row r="66" spans="1:5">
      <c r="B66" s="62" t="s">
        <v>320</v>
      </c>
      <c r="C66" s="13" t="s">
        <v>23</v>
      </c>
      <c r="D66" s="9" t="s">
        <v>321</v>
      </c>
      <c r="E66" s="9" t="s">
        <v>322</v>
      </c>
    </row>
    <row r="67" spans="1:5">
      <c r="B67" s="62" t="s">
        <v>323</v>
      </c>
      <c r="C67" s="13"/>
      <c r="D67" s="9" t="s">
        <v>324</v>
      </c>
      <c r="E67" t="s">
        <v>108</v>
      </c>
    </row>
    <row r="68" spans="1:5">
      <c r="B68" s="62" t="s">
        <v>325</v>
      </c>
      <c r="C68" s="13"/>
      <c r="D68" s="9" t="s">
        <v>326</v>
      </c>
      <c r="E68" t="s">
        <v>108</v>
      </c>
    </row>
    <row r="69" spans="1:5">
      <c r="B69" s="13">
        <v>10.199999999999999</v>
      </c>
      <c r="C69" s="13"/>
      <c r="D69" s="9" t="s">
        <v>331</v>
      </c>
      <c r="E69" t="s">
        <v>108</v>
      </c>
    </row>
    <row r="70" spans="1:5">
      <c r="B70" s="63">
        <v>10.1</v>
      </c>
      <c r="C70" s="13"/>
      <c r="D70" s="9" t="s">
        <v>327</v>
      </c>
      <c r="E70" s="9" t="s">
        <v>330</v>
      </c>
    </row>
    <row r="71" spans="1:5">
      <c r="B71" s="13">
        <v>10.119999999999999</v>
      </c>
      <c r="C71" s="13"/>
      <c r="D71" s="9" t="s">
        <v>328</v>
      </c>
      <c r="E71" s="9" t="s">
        <v>329</v>
      </c>
    </row>
    <row r="72" spans="1:5" ht="13">
      <c r="A72" s="9" t="s">
        <v>312</v>
      </c>
      <c r="B72" s="13"/>
      <c r="C72" s="13" t="s">
        <v>23</v>
      </c>
      <c r="D72" s="5" t="s">
        <v>97</v>
      </c>
      <c r="E72" s="5" t="s">
        <v>305</v>
      </c>
    </row>
    <row r="73" spans="1:5">
      <c r="B73" s="13">
        <v>11.1</v>
      </c>
      <c r="C73" s="13" t="s">
        <v>23</v>
      </c>
      <c r="D73" t="s">
        <v>99</v>
      </c>
      <c r="E73" s="9" t="s">
        <v>279</v>
      </c>
    </row>
    <row r="74" spans="1:5">
      <c r="B74" s="62" t="s">
        <v>307</v>
      </c>
      <c r="C74" s="13" t="s">
        <v>23</v>
      </c>
      <c r="D74" t="s">
        <v>100</v>
      </c>
      <c r="E74" s="9" t="s">
        <v>308</v>
      </c>
    </row>
    <row r="75" spans="1:5">
      <c r="B75" s="13">
        <v>11.3</v>
      </c>
      <c r="C75" s="13" t="s">
        <v>23</v>
      </c>
      <c r="D75" s="9" t="s">
        <v>281</v>
      </c>
      <c r="E75" s="9" t="s">
        <v>280</v>
      </c>
    </row>
    <row r="76" spans="1:5">
      <c r="B76" s="13"/>
      <c r="C76" s="13"/>
      <c r="D76" s="9" t="s">
        <v>298</v>
      </c>
      <c r="E76" s="9" t="s">
        <v>299</v>
      </c>
    </row>
    <row r="77" spans="1:5">
      <c r="B77" s="13">
        <v>11.6</v>
      </c>
      <c r="C77" s="13" t="s">
        <v>23</v>
      </c>
      <c r="D77" s="9" t="s">
        <v>101</v>
      </c>
      <c r="E77" s="9" t="s">
        <v>309</v>
      </c>
    </row>
    <row r="78" spans="1:5">
      <c r="B78" s="13">
        <v>11.7</v>
      </c>
      <c r="C78" s="13"/>
      <c r="D78" s="9" t="s">
        <v>102</v>
      </c>
      <c r="E78" s="9" t="s">
        <v>310</v>
      </c>
    </row>
    <row r="79" spans="1:5">
      <c r="B79" s="13">
        <v>11.8</v>
      </c>
      <c r="C79" s="13"/>
      <c r="D79" s="9" t="s">
        <v>103</v>
      </c>
      <c r="E79" s="9" t="s">
        <v>311</v>
      </c>
    </row>
    <row r="80" spans="1:5" ht="13">
      <c r="A80" s="9" t="s">
        <v>405</v>
      </c>
      <c r="B80" s="13"/>
      <c r="C80" s="13" t="s">
        <v>23</v>
      </c>
      <c r="D80" s="5" t="s">
        <v>98</v>
      </c>
      <c r="E80" s="5" t="s">
        <v>306</v>
      </c>
    </row>
    <row r="81" spans="1:8">
      <c r="B81" s="13">
        <v>12.1</v>
      </c>
      <c r="C81" s="13" t="s">
        <v>23</v>
      </c>
      <c r="D81" s="9" t="s">
        <v>26</v>
      </c>
      <c r="E81" s="9" t="s">
        <v>283</v>
      </c>
    </row>
    <row r="82" spans="1:8">
      <c r="B82" s="13">
        <v>12.2</v>
      </c>
      <c r="C82" s="13" t="s">
        <v>23</v>
      </c>
      <c r="D82" s="9" t="s">
        <v>272</v>
      </c>
      <c r="E82" s="9" t="s">
        <v>282</v>
      </c>
    </row>
    <row r="83" spans="1:8">
      <c r="B83" s="13">
        <v>12.3</v>
      </c>
      <c r="C83" s="13" t="s">
        <v>23</v>
      </c>
      <c r="D83" s="9" t="s">
        <v>273</v>
      </c>
      <c r="E83" s="9" t="s">
        <v>284</v>
      </c>
    </row>
    <row r="84" spans="1:8">
      <c r="B84" s="13">
        <v>12.4</v>
      </c>
      <c r="C84" s="13" t="s">
        <v>23</v>
      </c>
      <c r="D84" s="9" t="s">
        <v>274</v>
      </c>
      <c r="E84" s="9" t="s">
        <v>285</v>
      </c>
    </row>
    <row r="85" spans="1:8">
      <c r="B85" s="13">
        <v>12.5</v>
      </c>
      <c r="C85" s="13" t="s">
        <v>23</v>
      </c>
      <c r="D85" s="9" t="s">
        <v>275</v>
      </c>
      <c r="E85" s="9" t="s">
        <v>282</v>
      </c>
    </row>
    <row r="86" spans="1:8">
      <c r="B86" s="13">
        <v>12.6</v>
      </c>
      <c r="C86" s="13" t="s">
        <v>23</v>
      </c>
      <c r="D86" s="9" t="s">
        <v>276</v>
      </c>
      <c r="E86" s="9" t="s">
        <v>285</v>
      </c>
    </row>
    <row r="87" spans="1:8">
      <c r="B87" s="13">
        <v>12.7</v>
      </c>
      <c r="C87" s="13"/>
      <c r="D87" s="9" t="s">
        <v>277</v>
      </c>
      <c r="E87" s="9" t="s">
        <v>286</v>
      </c>
      <c r="H87" s="9" t="s">
        <v>23</v>
      </c>
    </row>
    <row r="88" spans="1:8">
      <c r="B88" s="13">
        <v>12.9</v>
      </c>
      <c r="C88" s="13"/>
      <c r="D88" s="9" t="s">
        <v>278</v>
      </c>
      <c r="E88" s="9" t="s">
        <v>287</v>
      </c>
      <c r="H88" s="9" t="s">
        <v>23</v>
      </c>
    </row>
    <row r="89" spans="1:8" ht="13">
      <c r="A89" s="9" t="s">
        <v>406</v>
      </c>
      <c r="B89" s="13"/>
      <c r="C89" s="13" t="s">
        <v>23</v>
      </c>
      <c r="D89" s="5" t="s">
        <v>407</v>
      </c>
      <c r="E89" s="5" t="s">
        <v>408</v>
      </c>
      <c r="H89" s="9"/>
    </row>
    <row r="90" spans="1:8">
      <c r="B90" s="13">
        <v>13.1</v>
      </c>
      <c r="C90" s="13" t="s">
        <v>23</v>
      </c>
      <c r="D90" s="9" t="s">
        <v>409</v>
      </c>
      <c r="E90" s="9" t="s">
        <v>415</v>
      </c>
      <c r="H90" s="9"/>
    </row>
    <row r="91" spans="1:8">
      <c r="B91" s="13">
        <v>13.2</v>
      </c>
      <c r="C91" s="13" t="s">
        <v>23</v>
      </c>
      <c r="D91" s="9" t="s">
        <v>409</v>
      </c>
      <c r="E91" s="9" t="s">
        <v>416</v>
      </c>
      <c r="H91" s="9"/>
    </row>
    <row r="92" spans="1:8">
      <c r="B92" s="13">
        <v>13.3</v>
      </c>
      <c r="C92" s="13" t="s">
        <v>23</v>
      </c>
      <c r="D92" s="9" t="s">
        <v>410</v>
      </c>
      <c r="E92" s="9" t="s">
        <v>411</v>
      </c>
      <c r="H92" s="9"/>
    </row>
    <row r="93" spans="1:8">
      <c r="B93" s="13">
        <v>13.4</v>
      </c>
      <c r="C93" s="13" t="s">
        <v>23</v>
      </c>
      <c r="D93" s="9" t="s">
        <v>410</v>
      </c>
      <c r="E93" s="9" t="s">
        <v>412</v>
      </c>
      <c r="H93" s="9"/>
    </row>
    <row r="94" spans="1:8">
      <c r="B94" s="13">
        <v>13.5</v>
      </c>
      <c r="C94" s="13" t="s">
        <v>23</v>
      </c>
      <c r="D94" s="9" t="s">
        <v>413</v>
      </c>
      <c r="E94" s="9" t="s">
        <v>417</v>
      </c>
      <c r="H94" s="9"/>
    </row>
    <row r="95" spans="1:8">
      <c r="B95" s="13">
        <v>13.6</v>
      </c>
      <c r="C95" s="13" t="s">
        <v>23</v>
      </c>
      <c r="D95" s="9" t="s">
        <v>413</v>
      </c>
      <c r="E95" s="9" t="s">
        <v>418</v>
      </c>
      <c r="H95" s="9"/>
    </row>
    <row r="96" spans="1:8">
      <c r="B96" s="13">
        <v>13.7</v>
      </c>
      <c r="C96" s="13"/>
      <c r="D96" s="9" t="s">
        <v>414</v>
      </c>
      <c r="E96" s="9" t="s">
        <v>419</v>
      </c>
      <c r="H96" s="9"/>
    </row>
    <row r="97" spans="2:8">
      <c r="B97" s="13">
        <v>13.8</v>
      </c>
      <c r="C97" s="13"/>
      <c r="D97" s="9" t="s">
        <v>414</v>
      </c>
      <c r="E97" s="9" t="s">
        <v>420</v>
      </c>
      <c r="H97" s="9"/>
    </row>
    <row r="98" spans="2:8">
      <c r="B98" s="13">
        <v>13.9</v>
      </c>
      <c r="C98" s="13"/>
      <c r="D98" s="9" t="s">
        <v>414</v>
      </c>
      <c r="E98" s="9" t="s">
        <v>421</v>
      </c>
      <c r="H98" s="9"/>
    </row>
    <row r="99" spans="2:8">
      <c r="B99" s="9" t="s">
        <v>400</v>
      </c>
    </row>
  </sheetData>
  <customSheetViews>
    <customSheetView guid="{5EBE86A6-E484-4409-9173-9C7E8878B5E9}" showRuler="0">
      <selection activeCell="F3" sqref="F3"/>
      <pageMargins left="0.74803149606299213" right="0.74803149606299213" top="0.49" bottom="0.12" header="0.51181102362204722" footer="0.26"/>
      <printOptions horizontalCentered="1" verticalCentered="1"/>
      <pageSetup paperSize="9" scale="80" orientation="portrait" horizontalDpi="0" verticalDpi="0" r:id="rId1"/>
      <headerFooter alignWithMargins="0"/>
    </customSheetView>
  </customSheetViews>
  <phoneticPr fontId="5" type="noConversion"/>
  <printOptions horizontalCentered="1" verticalCentered="1"/>
  <pageMargins left="0.74803149606299202" right="0.74803149606299202" top="0.28000000000000003" bottom="0.118110236220472" header="0.21" footer="0.27559055118110198"/>
  <pageSetup paperSize="9" scale="65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58"/>
  <sheetViews>
    <sheetView workbookViewId="0">
      <selection activeCell="G19" sqref="G19:G23"/>
    </sheetView>
  </sheetViews>
  <sheetFormatPr defaultRowHeight="12.5"/>
  <cols>
    <col min="1" max="1" width="26.7265625" bestFit="1" customWidth="1"/>
    <col min="3" max="3" width="12.453125" bestFit="1" customWidth="1"/>
  </cols>
  <sheetData>
    <row r="1" spans="1:6" ht="15">
      <c r="A1" s="18" t="s">
        <v>110</v>
      </c>
      <c r="B1" s="19"/>
      <c r="C1" s="20"/>
      <c r="D1" s="19"/>
      <c r="E1" s="19"/>
      <c r="F1" s="19"/>
    </row>
    <row r="2" spans="1:6" ht="13.5">
      <c r="A2" s="19"/>
      <c r="B2" s="19" t="s">
        <v>23</v>
      </c>
      <c r="C2" s="21" t="s">
        <v>23</v>
      </c>
      <c r="D2" s="19"/>
      <c r="E2" s="19"/>
      <c r="F2" s="19"/>
    </row>
    <row r="3" spans="1:6" ht="13">
      <c r="A3" s="19" t="s">
        <v>394</v>
      </c>
      <c r="B3" s="19" t="s">
        <v>17</v>
      </c>
      <c r="C3" s="22">
        <v>100</v>
      </c>
      <c r="D3" s="23" t="s">
        <v>23</v>
      </c>
      <c r="E3" s="19"/>
      <c r="F3" s="19"/>
    </row>
    <row r="4" spans="1:6" ht="13">
      <c r="A4" s="19" t="s">
        <v>395</v>
      </c>
      <c r="B4" s="19" t="s">
        <v>113</v>
      </c>
      <c r="C4" s="19">
        <v>100</v>
      </c>
      <c r="D4" s="23" t="s">
        <v>23</v>
      </c>
      <c r="E4" s="19"/>
      <c r="F4" s="19"/>
    </row>
    <row r="5" spans="1:6" ht="15">
      <c r="A5" s="19" t="s">
        <v>114</v>
      </c>
      <c r="B5" s="14" t="s">
        <v>115</v>
      </c>
      <c r="C5" s="14">
        <v>0.04</v>
      </c>
      <c r="D5" s="23"/>
      <c r="E5" s="19"/>
      <c r="F5" s="19"/>
    </row>
    <row r="6" spans="1:6" ht="15">
      <c r="A6" s="19" t="s">
        <v>116</v>
      </c>
      <c r="B6" s="14" t="s">
        <v>117</v>
      </c>
      <c r="C6" s="14">
        <v>0.04</v>
      </c>
      <c r="D6" s="24"/>
      <c r="E6" s="19"/>
      <c r="F6" s="19"/>
    </row>
    <row r="7" spans="1:6" ht="15">
      <c r="A7" s="19" t="s">
        <v>118</v>
      </c>
      <c r="B7" s="14" t="s">
        <v>119</v>
      </c>
      <c r="C7" s="25">
        <v>0.4</v>
      </c>
      <c r="D7" s="24"/>
      <c r="E7" s="19"/>
      <c r="F7" s="19"/>
    </row>
    <row r="8" spans="1:6" ht="15">
      <c r="A8" s="19" t="s">
        <v>120</v>
      </c>
      <c r="B8" s="14" t="s">
        <v>121</v>
      </c>
      <c r="C8" s="25">
        <v>0.3</v>
      </c>
      <c r="D8" s="24"/>
      <c r="E8" s="19"/>
      <c r="F8" s="19"/>
    </row>
    <row r="9" spans="1:6" ht="13">
      <c r="A9" s="19" t="s">
        <v>122</v>
      </c>
      <c r="B9" s="14" t="s">
        <v>123</v>
      </c>
      <c r="C9" s="25">
        <v>0.5</v>
      </c>
      <c r="D9" s="24"/>
      <c r="E9" s="19"/>
      <c r="F9" s="19"/>
    </row>
    <row r="10" spans="1:6" ht="13">
      <c r="A10" s="19" t="s">
        <v>124</v>
      </c>
      <c r="B10" s="14" t="s">
        <v>0</v>
      </c>
      <c r="C10" s="14">
        <v>0.05</v>
      </c>
      <c r="D10" s="24"/>
      <c r="E10" s="19"/>
      <c r="F10" s="19"/>
    </row>
    <row r="11" spans="1:6" ht="15">
      <c r="A11" s="19" t="s">
        <v>125</v>
      </c>
      <c r="B11" s="14" t="s">
        <v>126</v>
      </c>
      <c r="C11" s="26">
        <v>50</v>
      </c>
      <c r="D11" s="24"/>
      <c r="E11" s="19"/>
      <c r="F11" s="19"/>
    </row>
    <row r="12" spans="1:6" ht="15">
      <c r="A12" s="19" t="s">
        <v>127</v>
      </c>
      <c r="B12" s="14" t="s">
        <v>128</v>
      </c>
      <c r="C12" s="26">
        <v>50</v>
      </c>
      <c r="D12" s="24"/>
      <c r="E12" s="19"/>
      <c r="F12" s="19"/>
    </row>
    <row r="13" spans="1:6" ht="13">
      <c r="A13" s="19" t="s">
        <v>23</v>
      </c>
      <c r="B13" s="14" t="s">
        <v>23</v>
      </c>
      <c r="C13" s="24" t="s">
        <v>23</v>
      </c>
      <c r="D13" s="24"/>
      <c r="E13" s="19"/>
      <c r="F13" s="19"/>
    </row>
    <row r="14" spans="1:6" ht="13">
      <c r="A14" s="19" t="s">
        <v>23</v>
      </c>
      <c r="B14" s="14" t="s">
        <v>23</v>
      </c>
      <c r="C14" s="24" t="s">
        <v>23</v>
      </c>
      <c r="D14" s="24"/>
      <c r="E14" s="19"/>
      <c r="F14" s="19"/>
    </row>
    <row r="15" spans="1:6" ht="15">
      <c r="A15" s="19" t="s">
        <v>129</v>
      </c>
      <c r="B15" s="14" t="s">
        <v>130</v>
      </c>
      <c r="C15" s="24">
        <v>50</v>
      </c>
      <c r="D15" s="24"/>
      <c r="E15" s="19"/>
      <c r="F15" s="19"/>
    </row>
    <row r="16" spans="1:6" ht="15">
      <c r="A16" s="19" t="s">
        <v>131</v>
      </c>
      <c r="B16" s="14" t="s">
        <v>132</v>
      </c>
      <c r="C16" s="24">
        <v>70</v>
      </c>
      <c r="D16" s="24"/>
      <c r="E16" s="19"/>
      <c r="F16" s="19"/>
    </row>
    <row r="17" spans="1:6" ht="13">
      <c r="A17" s="19" t="s">
        <v>133</v>
      </c>
      <c r="B17" s="19" t="s">
        <v>3</v>
      </c>
      <c r="C17" s="27">
        <f>(C3/C5-C11/C10)</f>
        <v>1500</v>
      </c>
      <c r="D17" s="24" t="s">
        <v>23</v>
      </c>
      <c r="E17" s="19"/>
      <c r="F17" s="19"/>
    </row>
    <row r="18" spans="1:6" ht="13">
      <c r="A18" s="19" t="s">
        <v>135</v>
      </c>
      <c r="B18" s="19" t="s">
        <v>136</v>
      </c>
      <c r="C18" s="27">
        <f>(C4/C6-C12/C10)</f>
        <v>1500</v>
      </c>
      <c r="D18" s="24" t="s">
        <v>23</v>
      </c>
      <c r="E18" s="19"/>
      <c r="F18" s="19"/>
    </row>
    <row r="19" spans="1:6" ht="15">
      <c r="A19" s="19" t="s">
        <v>149</v>
      </c>
      <c r="B19" s="14" t="s">
        <v>139</v>
      </c>
      <c r="C19" s="28">
        <f>C3</f>
        <v>100</v>
      </c>
      <c r="D19" s="24"/>
      <c r="E19" s="19"/>
      <c r="F19" s="19"/>
    </row>
    <row r="20" spans="1:6" ht="15">
      <c r="A20" s="19" t="s">
        <v>363</v>
      </c>
      <c r="B20" s="14" t="s">
        <v>141</v>
      </c>
      <c r="C20" s="28">
        <f>C3</f>
        <v>100</v>
      </c>
      <c r="D20" s="24"/>
      <c r="E20" s="19"/>
      <c r="F20" s="19"/>
    </row>
    <row r="21" spans="1:6" ht="13">
      <c r="A21" s="19"/>
      <c r="B21" s="19" t="s">
        <v>142</v>
      </c>
      <c r="C21" s="19"/>
      <c r="D21" s="19" t="s">
        <v>143</v>
      </c>
      <c r="E21" s="19"/>
      <c r="F21" s="19"/>
    </row>
    <row r="22" spans="1:6" ht="15">
      <c r="A22" s="19" t="s">
        <v>144</v>
      </c>
      <c r="B22" s="29" t="s">
        <v>145</v>
      </c>
      <c r="C22" s="30">
        <f>C3/C5-C11/C10+C24*C3^C28*C4^C29</f>
        <v>2780.367890946628</v>
      </c>
      <c r="D22" s="31">
        <f>C22-C17</f>
        <v>1280.367890946628</v>
      </c>
      <c r="E22" s="19"/>
      <c r="F22" s="19"/>
    </row>
    <row r="23" spans="1:6" ht="15">
      <c r="A23" s="19" t="s">
        <v>146</v>
      </c>
      <c r="B23" s="29" t="s">
        <v>147</v>
      </c>
      <c r="C23" s="30">
        <f>C4/C6-C12/C10+C25*C3^C30*C4^C31</f>
        <v>2781.7606059830955</v>
      </c>
      <c r="D23" s="31">
        <f>C23-C18</f>
        <v>1281.7606059830955</v>
      </c>
      <c r="E23" s="19"/>
      <c r="F23" s="19"/>
    </row>
    <row r="24" spans="1:6" ht="13">
      <c r="A24" s="19"/>
      <c r="B24" s="32" t="s">
        <v>27</v>
      </c>
      <c r="C24" s="33">
        <v>10.170394198927095</v>
      </c>
      <c r="D24" s="34"/>
      <c r="E24" s="19"/>
      <c r="F24" s="19"/>
    </row>
    <row r="25" spans="1:6" ht="13">
      <c r="A25" s="19"/>
      <c r="B25" s="32" t="s">
        <v>148</v>
      </c>
      <c r="C25" s="33">
        <v>9.7552697233930274</v>
      </c>
      <c r="D25" s="34"/>
      <c r="E25" s="19"/>
      <c r="F25" s="19"/>
    </row>
    <row r="26" spans="1:6" ht="15">
      <c r="A26" s="19" t="s">
        <v>149</v>
      </c>
      <c r="B26" s="35" t="s">
        <v>150</v>
      </c>
      <c r="C26" s="36">
        <v>150.21332482277492</v>
      </c>
      <c r="D26" s="23"/>
      <c r="E26" s="19"/>
      <c r="F26" s="19"/>
    </row>
    <row r="27" spans="1:6" ht="15">
      <c r="A27" s="19" t="s">
        <v>363</v>
      </c>
      <c r="B27" s="35" t="s">
        <v>151</v>
      </c>
      <c r="C27" s="36">
        <v>53.1776539375876</v>
      </c>
      <c r="D27" s="23"/>
      <c r="E27" s="19"/>
      <c r="F27" s="19"/>
    </row>
    <row r="28" spans="1:6" ht="15">
      <c r="A28" s="19" t="s">
        <v>152</v>
      </c>
      <c r="B28" s="35" t="s">
        <v>153</v>
      </c>
      <c r="C28" s="37">
        <v>-0.40116050790553059</v>
      </c>
      <c r="D28" s="38" t="s">
        <v>154</v>
      </c>
      <c r="E28" s="19"/>
      <c r="F28" s="19"/>
    </row>
    <row r="29" spans="1:6" ht="15">
      <c r="A29" s="19" t="s">
        <v>152</v>
      </c>
      <c r="B29" s="35" t="s">
        <v>155</v>
      </c>
      <c r="C29" s="37">
        <v>1.4511590019604832</v>
      </c>
      <c r="D29" s="38" t="s">
        <v>156</v>
      </c>
      <c r="E29" s="19"/>
      <c r="F29" s="19"/>
    </row>
    <row r="30" spans="1:6" ht="15">
      <c r="A30" s="19" t="s">
        <v>152</v>
      </c>
      <c r="B30" s="35" t="s">
        <v>157</v>
      </c>
      <c r="C30" s="37">
        <v>1.4228872754061914</v>
      </c>
      <c r="D30" s="38" t="s">
        <v>156</v>
      </c>
      <c r="E30" s="19"/>
      <c r="F30" s="19"/>
    </row>
    <row r="31" spans="1:6" ht="15">
      <c r="A31" s="19" t="s">
        <v>152</v>
      </c>
      <c r="B31" s="35" t="s">
        <v>158</v>
      </c>
      <c r="C31" s="37">
        <v>-0.36360345639939312</v>
      </c>
      <c r="D31" s="38" t="s">
        <v>154</v>
      </c>
      <c r="E31" s="19"/>
      <c r="F31" s="19"/>
    </row>
    <row r="32" spans="1:6" ht="13">
      <c r="A32" s="19"/>
      <c r="B32" s="19" t="s">
        <v>159</v>
      </c>
      <c r="C32" s="39"/>
      <c r="D32" s="27"/>
      <c r="E32" s="19"/>
      <c r="F32" s="19"/>
    </row>
    <row r="33" spans="1:6" ht="13">
      <c r="A33" s="19" t="s">
        <v>160</v>
      </c>
      <c r="B33" s="32" t="s">
        <v>161</v>
      </c>
      <c r="C33" s="40">
        <f>(C24*C19^C28*C26^C29+C19/C5-C11/C10-C25*C19^C30*C26^C31-C26/C6+C12/C10+C15)</f>
        <v>6.2056187744019553E-8</v>
      </c>
      <c r="D33" s="27"/>
      <c r="E33" s="19"/>
      <c r="F33" s="19"/>
    </row>
    <row r="34" spans="1:6" ht="13">
      <c r="A34" s="19" t="s">
        <v>162</v>
      </c>
      <c r="B34" s="32" t="s">
        <v>163</v>
      </c>
      <c r="C34" s="40">
        <f>(C24*C20^C28*C27^C29+C20/C5-C11/C10-C25*C20^C30*C27^C31-C27/C6+C12/C10-C16)</f>
        <v>3.2932575777522288E-8</v>
      </c>
      <c r="D34" s="27"/>
      <c r="E34" s="19"/>
      <c r="F34" s="19"/>
    </row>
    <row r="35" spans="1:6" ht="13">
      <c r="A35" s="19" t="s">
        <v>164</v>
      </c>
      <c r="B35" s="32" t="s">
        <v>165</v>
      </c>
      <c r="C35" s="40">
        <f>(C28*C24*C19^(C28-1)*C26^C29+1/C5-C30*C25*C19^(C30-1)*C26^C31)</f>
        <v>2.347437799699037E-10</v>
      </c>
      <c r="D35" s="27"/>
      <c r="E35" s="19"/>
      <c r="F35" s="19"/>
    </row>
    <row r="36" spans="1:6" ht="13">
      <c r="A36" s="19" t="s">
        <v>166</v>
      </c>
      <c r="B36" s="32" t="s">
        <v>167</v>
      </c>
      <c r="C36" s="40">
        <f>(C29*C24*C19^C28*C26^(C29-1)-C31*C25*C19^C30*C26^(C31-1)-1/C6)</f>
        <v>3.6018832361150999E-10</v>
      </c>
      <c r="D36" s="27"/>
      <c r="E36" s="19"/>
      <c r="F36" s="19"/>
    </row>
    <row r="37" spans="1:6" ht="13">
      <c r="A37" s="19" t="s">
        <v>168</v>
      </c>
      <c r="B37" s="32" t="s">
        <v>169</v>
      </c>
      <c r="C37" s="40">
        <f>(C28*C24*C20^(C28-1)*C27^C29+1/C5-C30*C25*C20^(C30-1)*C27^C31)</f>
        <v>3.4013680760835996E-10</v>
      </c>
      <c r="D37" s="27"/>
      <c r="E37" s="19"/>
      <c r="F37" s="19"/>
    </row>
    <row r="38" spans="1:6" ht="13">
      <c r="A38" s="19" t="s">
        <v>170</v>
      </c>
      <c r="B38" s="32" t="s">
        <v>171</v>
      </c>
      <c r="C38" s="40">
        <f>(C29*C24*C20^C28*C27^(C29-1)-C31*C25*C20^C30*C27^(C31-1)-1/C6)</f>
        <v>-9.3852037252872833E-11</v>
      </c>
      <c r="D38" s="27"/>
      <c r="E38" s="19"/>
      <c r="F38" s="19"/>
    </row>
    <row r="39" spans="1:6" ht="13">
      <c r="A39" s="19" t="s">
        <v>172</v>
      </c>
      <c r="B39" s="32" t="s">
        <v>173</v>
      </c>
      <c r="C39" s="40">
        <f>0.5*C7^2*C28*(C28-1)+0.5*C8^2*C29*(C29-1)+C9*C7*C8*C28*C29+C28*(C10-C5)+C29*(C10-C6)-C10</f>
        <v>1.5633327965502986E-14</v>
      </c>
      <c r="D39" s="27"/>
      <c r="E39" s="19"/>
      <c r="F39" s="19"/>
    </row>
    <row r="40" spans="1:6" ht="13">
      <c r="A40" s="19" t="s">
        <v>174</v>
      </c>
      <c r="B40" s="32" t="s">
        <v>175</v>
      </c>
      <c r="C40" s="40">
        <f>0.5*C7^2*C30*(C30-1)+0.5*C8^2*C31*(C31-1)+C9*C7*C8*C30*C31+C30*(C10-C5)+C31*(C10-C6)-C10</f>
        <v>6.0715321659188248E-14</v>
      </c>
      <c r="D40" s="27"/>
      <c r="E40" s="19"/>
      <c r="F40" s="19"/>
    </row>
    <row r="41" spans="1:6" ht="13">
      <c r="A41" s="19"/>
      <c r="B41" s="19" t="s">
        <v>176</v>
      </c>
      <c r="C41" s="41">
        <f>SUM(ABS(C33)+ABS(C34)+ABS(C35)+ABS(C36)+ABS(C37)+ABS(C38)+ABS(C39)+ABS(C40))</f>
        <v>9.6017760818634112E-8</v>
      </c>
      <c r="D41" s="42" t="s">
        <v>23</v>
      </c>
      <c r="E41" s="19"/>
      <c r="F41" s="19"/>
    </row>
    <row r="42" spans="1:6" ht="13">
      <c r="B42" s="32" t="s">
        <v>18</v>
      </c>
    </row>
    <row r="43" spans="1:6" ht="13">
      <c r="A43" s="32" t="s">
        <v>23</v>
      </c>
      <c r="B43" s="43" t="s">
        <v>4</v>
      </c>
      <c r="C43" s="12">
        <f>C29*C30-C28*C31</f>
        <v>1.9189723312353331</v>
      </c>
      <c r="D43" s="9" t="s">
        <v>177</v>
      </c>
    </row>
    <row r="44" spans="1:6" ht="13">
      <c r="B44" s="32" t="s">
        <v>178</v>
      </c>
      <c r="C44" s="12">
        <f>1-(C29-C31)/C43</f>
        <v>5.4305041911871688E-2</v>
      </c>
      <c r="D44" s="9" t="s">
        <v>179</v>
      </c>
    </row>
    <row r="45" spans="1:6" ht="13">
      <c r="B45" s="32" t="s">
        <v>180</v>
      </c>
      <c r="C45" s="12">
        <f>1-(C30-C28)/C43</f>
        <v>4.9466345282062396E-2</v>
      </c>
      <c r="D45" s="9" t="s">
        <v>181</v>
      </c>
    </row>
    <row r="46" spans="1:6" ht="13">
      <c r="B46" s="32" t="s">
        <v>182</v>
      </c>
      <c r="C46" s="12">
        <f>(C26/C6)*C45-(C19/C5)*C44-C15</f>
        <v>1.1570250535442028E-8</v>
      </c>
      <c r="D46" s="12" t="s">
        <v>183</v>
      </c>
    </row>
    <row r="47" spans="1:6" ht="13">
      <c r="B47" s="32" t="s">
        <v>184</v>
      </c>
      <c r="C47" s="12">
        <f>(C20/C5)*C44-(C27/C6)*C45-C16</f>
        <v>5.5108699825723306E-9</v>
      </c>
      <c r="D47" s="12" t="s">
        <v>185</v>
      </c>
    </row>
    <row r="48" spans="1:6" ht="13">
      <c r="A48" s="32" t="s">
        <v>161</v>
      </c>
      <c r="B48" s="40" t="s">
        <v>186</v>
      </c>
    </row>
    <row r="49" spans="1:3" ht="13">
      <c r="A49" s="32" t="s">
        <v>163</v>
      </c>
      <c r="B49" s="40" t="s">
        <v>187</v>
      </c>
    </row>
    <row r="50" spans="1:3" ht="13">
      <c r="A50" s="32" t="s">
        <v>165</v>
      </c>
      <c r="B50" s="40" t="s">
        <v>188</v>
      </c>
    </row>
    <row r="51" spans="1:3" ht="13">
      <c r="A51" s="32" t="s">
        <v>167</v>
      </c>
      <c r="B51" s="40" t="s">
        <v>189</v>
      </c>
    </row>
    <row r="52" spans="1:3" ht="13">
      <c r="A52" s="32" t="s">
        <v>169</v>
      </c>
      <c r="B52" s="40" t="s">
        <v>190</v>
      </c>
    </row>
    <row r="53" spans="1:3" ht="13">
      <c r="A53" s="32" t="s">
        <v>171</v>
      </c>
      <c r="B53" s="40" t="s">
        <v>191</v>
      </c>
    </row>
    <row r="54" spans="1:3" ht="13">
      <c r="A54" s="32" t="s">
        <v>173</v>
      </c>
      <c r="B54" s="44" t="s">
        <v>192</v>
      </c>
    </row>
    <row r="55" spans="1:3" ht="13">
      <c r="A55" s="32" t="s">
        <v>175</v>
      </c>
      <c r="B55" s="44" t="s">
        <v>193</v>
      </c>
    </row>
    <row r="56" spans="1:3" ht="13">
      <c r="A56" s="32" t="s">
        <v>194</v>
      </c>
      <c r="C56" s="2">
        <f>C26-C27</f>
        <v>97.035670885187329</v>
      </c>
    </row>
    <row r="57" spans="1:3" ht="15">
      <c r="A57" s="32" t="s">
        <v>195</v>
      </c>
      <c r="B57" s="27" t="s">
        <v>196</v>
      </c>
    </row>
    <row r="58" spans="1:3" ht="15">
      <c r="A58" s="32" t="s">
        <v>197</v>
      </c>
      <c r="B58" s="27" t="s">
        <v>198</v>
      </c>
    </row>
  </sheetData>
  <printOptions horizontalCentered="1" headings="1"/>
  <pageMargins left="0.7" right="0.7" top="0.75" bottom="0.75" header="0.3" footer="0.3"/>
  <pageSetup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4"/>
  <sheetViews>
    <sheetView topLeftCell="A44" workbookViewId="0">
      <selection activeCell="A60" sqref="A60"/>
    </sheetView>
  </sheetViews>
  <sheetFormatPr defaultRowHeight="12.5"/>
  <cols>
    <col min="1" max="1" width="26.7265625" bestFit="1" customWidth="1"/>
    <col min="2" max="2" width="13.81640625" bestFit="1" customWidth="1"/>
  </cols>
  <sheetData>
    <row r="1" spans="1:9" ht="15">
      <c r="A1" s="18" t="s">
        <v>23</v>
      </c>
      <c r="B1" s="19"/>
      <c r="C1" s="20"/>
      <c r="D1" s="20"/>
      <c r="E1" s="20"/>
      <c r="F1" s="20"/>
      <c r="G1" s="20"/>
      <c r="H1" s="20"/>
      <c r="I1" s="19"/>
    </row>
    <row r="2" spans="1:9" ht="13.5">
      <c r="A2" s="19"/>
      <c r="B2" s="19" t="s">
        <v>199</v>
      </c>
      <c r="C2" s="21"/>
      <c r="D2" s="21"/>
      <c r="E2" s="21"/>
      <c r="F2" s="21"/>
      <c r="G2" s="21"/>
      <c r="H2" s="21"/>
      <c r="I2" s="19"/>
    </row>
    <row r="3" spans="1:9" ht="13">
      <c r="A3" s="19" t="s">
        <v>111</v>
      </c>
      <c r="B3" s="19" t="s">
        <v>17</v>
      </c>
      <c r="C3" s="45">
        <v>100</v>
      </c>
      <c r="D3" s="45">
        <v>100</v>
      </c>
      <c r="E3" s="45">
        <v>100</v>
      </c>
      <c r="F3" s="45">
        <v>100</v>
      </c>
      <c r="G3" s="45">
        <v>100</v>
      </c>
      <c r="H3" s="45">
        <v>100</v>
      </c>
      <c r="I3" s="23" t="s">
        <v>23</v>
      </c>
    </row>
    <row r="4" spans="1:9" ht="13">
      <c r="A4" s="19" t="s">
        <v>112</v>
      </c>
      <c r="B4" s="19" t="s">
        <v>113</v>
      </c>
      <c r="C4" s="19">
        <v>100</v>
      </c>
      <c r="D4" s="19">
        <v>100</v>
      </c>
      <c r="E4" s="19">
        <v>100</v>
      </c>
      <c r="F4" s="19">
        <v>100</v>
      </c>
      <c r="G4" s="19">
        <v>100</v>
      </c>
      <c r="H4" s="19">
        <v>100</v>
      </c>
      <c r="I4" s="23" t="s">
        <v>23</v>
      </c>
    </row>
    <row r="5" spans="1:9" ht="15">
      <c r="A5" s="19" t="s">
        <v>114</v>
      </c>
      <c r="B5" s="14" t="s">
        <v>115</v>
      </c>
      <c r="C5" s="14">
        <v>0.04</v>
      </c>
      <c r="D5" s="14">
        <v>0.04</v>
      </c>
      <c r="E5" s="14">
        <v>0.04</v>
      </c>
      <c r="F5" s="14">
        <v>0.04</v>
      </c>
      <c r="G5" s="14">
        <v>0.04</v>
      </c>
      <c r="H5" s="14">
        <v>0.04</v>
      </c>
      <c r="I5" s="23"/>
    </row>
    <row r="6" spans="1:9" ht="15">
      <c r="A6" s="19" t="s">
        <v>116</v>
      </c>
      <c r="B6" s="14" t="s">
        <v>117</v>
      </c>
      <c r="C6" s="14">
        <v>0.04</v>
      </c>
      <c r="D6" s="14">
        <v>0.04</v>
      </c>
      <c r="E6" s="14">
        <v>0.04</v>
      </c>
      <c r="F6" s="14">
        <v>0.04</v>
      </c>
      <c r="G6" s="14">
        <v>0.04</v>
      </c>
      <c r="H6" s="14">
        <v>0.04</v>
      </c>
      <c r="I6" s="24"/>
    </row>
    <row r="7" spans="1:9" ht="15">
      <c r="A7" s="46" t="s">
        <v>118</v>
      </c>
      <c r="B7" s="47" t="s">
        <v>200</v>
      </c>
      <c r="C7" s="48">
        <v>0.2</v>
      </c>
      <c r="D7" s="48">
        <f>C7+0.05</f>
        <v>0.25</v>
      </c>
      <c r="E7" s="48">
        <f>D7+0.05</f>
        <v>0.3</v>
      </c>
      <c r="F7" s="48">
        <f>E7+0.05</f>
        <v>0.35</v>
      </c>
      <c r="G7" s="48">
        <f>F7+0.05</f>
        <v>0.39999999999999997</v>
      </c>
      <c r="H7" s="48">
        <f>G7+0.05</f>
        <v>0.44999999999999996</v>
      </c>
      <c r="I7" s="24"/>
    </row>
    <row r="8" spans="1:9" ht="15">
      <c r="A8" s="19" t="s">
        <v>120</v>
      </c>
      <c r="B8" s="14" t="s">
        <v>121</v>
      </c>
      <c r="C8" s="25">
        <v>0.3</v>
      </c>
      <c r="D8" s="25">
        <v>0.3</v>
      </c>
      <c r="E8" s="25">
        <v>0.3</v>
      </c>
      <c r="F8" s="25">
        <v>0.3</v>
      </c>
      <c r="G8" s="25">
        <v>0.3</v>
      </c>
      <c r="H8" s="25">
        <v>0.3</v>
      </c>
      <c r="I8" s="24"/>
    </row>
    <row r="9" spans="1:9" ht="13">
      <c r="A9" s="19" t="s">
        <v>122</v>
      </c>
      <c r="B9" s="14" t="s">
        <v>123</v>
      </c>
      <c r="C9" s="25">
        <v>0.5</v>
      </c>
      <c r="D9" s="25">
        <v>0.5</v>
      </c>
      <c r="E9" s="25">
        <v>0.5</v>
      </c>
      <c r="F9" s="25">
        <v>0.5</v>
      </c>
      <c r="G9" s="25">
        <v>0.5</v>
      </c>
      <c r="H9" s="25">
        <v>0.5</v>
      </c>
      <c r="I9" s="24"/>
    </row>
    <row r="10" spans="1:9" ht="13">
      <c r="A10" s="19" t="s">
        <v>124</v>
      </c>
      <c r="B10" s="14" t="s">
        <v>0</v>
      </c>
      <c r="C10" s="14">
        <v>0.05</v>
      </c>
      <c r="D10" s="14">
        <v>0.05</v>
      </c>
      <c r="E10" s="14">
        <v>0.05</v>
      </c>
      <c r="F10" s="14">
        <v>0.05</v>
      </c>
      <c r="G10" s="14">
        <v>0.05</v>
      </c>
      <c r="H10" s="14">
        <v>0.05</v>
      </c>
      <c r="I10" s="24"/>
    </row>
    <row r="11" spans="1:9" ht="15">
      <c r="A11" s="19" t="s">
        <v>125</v>
      </c>
      <c r="B11" s="14" t="s">
        <v>126</v>
      </c>
      <c r="C11" s="49">
        <v>50</v>
      </c>
      <c r="D11" s="49">
        <v>50</v>
      </c>
      <c r="E11" s="49">
        <v>50</v>
      </c>
      <c r="F11" s="49">
        <v>50</v>
      </c>
      <c r="G11" s="49">
        <v>50</v>
      </c>
      <c r="H11" s="49">
        <v>50</v>
      </c>
      <c r="I11" s="24"/>
    </row>
    <row r="12" spans="1:9" ht="15">
      <c r="A12" s="19" t="s">
        <v>127</v>
      </c>
      <c r="B12" s="14" t="s">
        <v>128</v>
      </c>
      <c r="C12" s="49">
        <v>50</v>
      </c>
      <c r="D12" s="49">
        <v>50</v>
      </c>
      <c r="E12" s="49">
        <v>50</v>
      </c>
      <c r="F12" s="49">
        <v>50</v>
      </c>
      <c r="G12" s="49">
        <v>50</v>
      </c>
      <c r="H12" s="49">
        <v>50</v>
      </c>
      <c r="I12" s="24"/>
    </row>
    <row r="13" spans="1:9" ht="15">
      <c r="A13" s="19" t="s">
        <v>201</v>
      </c>
      <c r="B13" s="14" t="s">
        <v>202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/>
    </row>
    <row r="14" spans="1:9" ht="15">
      <c r="A14" s="19" t="s">
        <v>203</v>
      </c>
      <c r="B14" s="14" t="s">
        <v>204</v>
      </c>
      <c r="C14" s="24">
        <v>1</v>
      </c>
      <c r="D14" s="24">
        <v>1</v>
      </c>
      <c r="E14" s="24">
        <v>1</v>
      </c>
      <c r="F14" s="24">
        <v>1</v>
      </c>
      <c r="G14" s="24">
        <v>1</v>
      </c>
      <c r="H14" s="24">
        <v>1</v>
      </c>
      <c r="I14" s="24"/>
    </row>
    <row r="15" spans="1:9" ht="15">
      <c r="A15" s="19" t="s">
        <v>129</v>
      </c>
      <c r="B15" s="14" t="s">
        <v>130</v>
      </c>
      <c r="C15" s="24">
        <v>50</v>
      </c>
      <c r="D15" s="24">
        <v>50</v>
      </c>
      <c r="E15" s="24">
        <v>50</v>
      </c>
      <c r="F15" s="24">
        <v>50</v>
      </c>
      <c r="G15" s="24">
        <v>50</v>
      </c>
      <c r="H15" s="24">
        <v>50</v>
      </c>
      <c r="I15" s="24"/>
    </row>
    <row r="16" spans="1:9" ht="15">
      <c r="A16" s="19" t="s">
        <v>131</v>
      </c>
      <c r="B16" s="14" t="s">
        <v>132</v>
      </c>
      <c r="C16" s="24">
        <v>70</v>
      </c>
      <c r="D16" s="24">
        <v>70</v>
      </c>
      <c r="E16" s="24">
        <v>70</v>
      </c>
      <c r="F16" s="24">
        <v>70</v>
      </c>
      <c r="G16" s="24">
        <v>70</v>
      </c>
      <c r="H16" s="24">
        <v>70</v>
      </c>
      <c r="I16" s="24"/>
    </row>
    <row r="17" spans="1:9" ht="13">
      <c r="A17" s="19" t="s">
        <v>133</v>
      </c>
      <c r="B17" s="19" t="s">
        <v>3</v>
      </c>
      <c r="C17" s="27">
        <f t="shared" ref="C17:H17" si="0">C13*(C3/C5-C11/C10)</f>
        <v>1500</v>
      </c>
      <c r="D17" s="27">
        <f t="shared" si="0"/>
        <v>1500</v>
      </c>
      <c r="E17" s="27">
        <f t="shared" si="0"/>
        <v>1500</v>
      </c>
      <c r="F17" s="27">
        <f t="shared" si="0"/>
        <v>1500</v>
      </c>
      <c r="G17" s="27">
        <f t="shared" si="0"/>
        <v>1500</v>
      </c>
      <c r="H17" s="27">
        <f t="shared" si="0"/>
        <v>1500</v>
      </c>
      <c r="I17" s="24" t="s">
        <v>134</v>
      </c>
    </row>
    <row r="18" spans="1:9" ht="13">
      <c r="A18" s="19" t="s">
        <v>135</v>
      </c>
      <c r="B18" s="19" t="s">
        <v>136</v>
      </c>
      <c r="C18" s="27">
        <f t="shared" ref="C18:H18" si="1">C14*(C4/C6-C12/C10)</f>
        <v>1500</v>
      </c>
      <c r="D18" s="27">
        <f t="shared" si="1"/>
        <v>1500</v>
      </c>
      <c r="E18" s="27">
        <f t="shared" si="1"/>
        <v>1500</v>
      </c>
      <c r="F18" s="27">
        <f t="shared" si="1"/>
        <v>1500</v>
      </c>
      <c r="G18" s="27">
        <f t="shared" si="1"/>
        <v>1500</v>
      </c>
      <c r="H18" s="27">
        <f t="shared" si="1"/>
        <v>1500</v>
      </c>
      <c r="I18" s="24" t="s">
        <v>137</v>
      </c>
    </row>
    <row r="19" spans="1:9" ht="15">
      <c r="A19" s="19" t="s">
        <v>138</v>
      </c>
      <c r="B19" s="14" t="s">
        <v>139</v>
      </c>
      <c r="C19" s="28">
        <f t="shared" ref="C19:H19" si="2">C3</f>
        <v>100</v>
      </c>
      <c r="D19" s="28">
        <f t="shared" si="2"/>
        <v>100</v>
      </c>
      <c r="E19" s="28">
        <f t="shared" si="2"/>
        <v>100</v>
      </c>
      <c r="F19" s="28">
        <f t="shared" si="2"/>
        <v>100</v>
      </c>
      <c r="G19" s="28">
        <f t="shared" si="2"/>
        <v>100</v>
      </c>
      <c r="H19" s="28">
        <f t="shared" si="2"/>
        <v>100</v>
      </c>
      <c r="I19" s="24"/>
    </row>
    <row r="20" spans="1:9" ht="15">
      <c r="A20" s="19" t="s">
        <v>140</v>
      </c>
      <c r="B20" s="14" t="s">
        <v>141</v>
      </c>
      <c r="C20" s="28">
        <f t="shared" ref="C20:H20" si="3">C3</f>
        <v>100</v>
      </c>
      <c r="D20" s="28">
        <f t="shared" si="3"/>
        <v>100</v>
      </c>
      <c r="E20" s="28">
        <f t="shared" si="3"/>
        <v>100</v>
      </c>
      <c r="F20" s="28">
        <f t="shared" si="3"/>
        <v>100</v>
      </c>
      <c r="G20" s="28">
        <f t="shared" si="3"/>
        <v>100</v>
      </c>
      <c r="H20" s="28">
        <f t="shared" si="3"/>
        <v>100</v>
      </c>
      <c r="I20" s="24"/>
    </row>
    <row r="21" spans="1:9" ht="13">
      <c r="A21" s="19"/>
      <c r="B21" s="19" t="s">
        <v>142</v>
      </c>
      <c r="C21" s="19"/>
      <c r="D21" s="19"/>
      <c r="E21" s="19"/>
      <c r="F21" s="19"/>
      <c r="G21" s="19"/>
      <c r="H21" s="19"/>
      <c r="I21" s="19" t="s">
        <v>23</v>
      </c>
    </row>
    <row r="22" spans="1:9" ht="15">
      <c r="A22" s="19" t="s">
        <v>144</v>
      </c>
      <c r="B22" s="32" t="s">
        <v>205</v>
      </c>
      <c r="C22" s="27">
        <f t="shared" ref="C22:H22" si="4">C13*C3/C5-C13*C11/C10+C24*C3^C28*C4^C29</f>
        <v>2490.9426832405015</v>
      </c>
      <c r="D22" s="27">
        <f t="shared" si="4"/>
        <v>2537.3527826535715</v>
      </c>
      <c r="E22" s="27">
        <f t="shared" si="4"/>
        <v>2606.0041494756042</v>
      </c>
      <c r="F22" s="27">
        <f t="shared" si="4"/>
        <v>2689.3580787043538</v>
      </c>
      <c r="G22" s="27">
        <f t="shared" si="4"/>
        <v>2780.3678909184728</v>
      </c>
      <c r="H22" s="27">
        <f t="shared" si="4"/>
        <v>2873.4351303848971</v>
      </c>
      <c r="I22" s="27" t="s">
        <v>23</v>
      </c>
    </row>
    <row r="23" spans="1:9" ht="15">
      <c r="A23" s="19" t="s">
        <v>146</v>
      </c>
      <c r="B23" s="32" t="s">
        <v>206</v>
      </c>
      <c r="C23" s="27">
        <f t="shared" ref="C23:H23" si="5">C14*C4/C6-C14*C12/C10+C25*C3^C30*C4^C31</f>
        <v>2475.2987281032752</v>
      </c>
      <c r="D23" s="27">
        <f t="shared" si="5"/>
        <v>2525.8508854942529</v>
      </c>
      <c r="E23" s="27">
        <f t="shared" si="5"/>
        <v>2598.9536817150033</v>
      </c>
      <c r="F23" s="27">
        <f t="shared" si="5"/>
        <v>2686.6694659363493</v>
      </c>
      <c r="G23" s="27">
        <f t="shared" si="5"/>
        <v>2781.7606059952677</v>
      </c>
      <c r="H23" s="27">
        <f t="shared" si="5"/>
        <v>2878.5852995887458</v>
      </c>
      <c r="I23" s="27" t="s">
        <v>23</v>
      </c>
    </row>
    <row r="24" spans="1:9" ht="13">
      <c r="A24" s="19"/>
      <c r="B24" s="32" t="s">
        <v>27</v>
      </c>
      <c r="C24" s="33">
        <v>7.7156966916045935</v>
      </c>
      <c r="D24" s="33">
        <v>8.0885305942242471</v>
      </c>
      <c r="E24" s="33">
        <v>8.6629346232045243</v>
      </c>
      <c r="F24" s="33">
        <v>9.3770360612918946</v>
      </c>
      <c r="G24" s="33">
        <v>10.170394199213677</v>
      </c>
      <c r="H24" s="33">
        <v>10.992757861935047</v>
      </c>
      <c r="I24" s="34"/>
    </row>
    <row r="25" spans="1:9" ht="13">
      <c r="A25" s="19"/>
      <c r="B25" s="32" t="s">
        <v>148</v>
      </c>
      <c r="C25" s="33">
        <v>6.8763144787778989</v>
      </c>
      <c r="D25" s="33">
        <v>7.3543486349042615</v>
      </c>
      <c r="E25" s="33">
        <v>8.0388657846009419</v>
      </c>
      <c r="F25" s="33">
        <v>8.8604185790669252</v>
      </c>
      <c r="G25" s="33">
        <v>9.7552697238051191</v>
      </c>
      <c r="H25" s="33">
        <v>10.672886008779081</v>
      </c>
      <c r="I25" s="34"/>
    </row>
    <row r="26" spans="1:9" ht="15">
      <c r="A26" s="19" t="s">
        <v>149</v>
      </c>
      <c r="B26" s="35" t="s">
        <v>150</v>
      </c>
      <c r="C26" s="50">
        <v>150.68752557638555</v>
      </c>
      <c r="D26" s="50">
        <v>149.95501570136304</v>
      </c>
      <c r="E26" s="50">
        <v>149.72396056977232</v>
      </c>
      <c r="F26" s="50">
        <v>149.86094089346614</v>
      </c>
      <c r="G26" s="50">
        <v>150.21332482666531</v>
      </c>
      <c r="H26" s="50">
        <v>150.63945361872652</v>
      </c>
      <c r="I26" s="23"/>
    </row>
    <row r="27" spans="1:9" ht="15">
      <c r="A27" s="19" t="s">
        <v>149</v>
      </c>
      <c r="B27" s="35" t="s">
        <v>151</v>
      </c>
      <c r="C27" s="50">
        <v>65.91595462169326</v>
      </c>
      <c r="D27" s="50">
        <v>63.442574538796478</v>
      </c>
      <c r="E27" s="50">
        <v>60.323043388991415</v>
      </c>
      <c r="F27" s="50">
        <v>56.832333424746274</v>
      </c>
      <c r="G27" s="50">
        <v>53.177653937499777</v>
      </c>
      <c r="H27" s="50">
        <v>49.494626970873959</v>
      </c>
      <c r="I27" s="23"/>
    </row>
    <row r="28" spans="1:9" ht="15">
      <c r="A28" s="19" t="s">
        <v>152</v>
      </c>
      <c r="B28" s="35" t="s">
        <v>153</v>
      </c>
      <c r="C28" s="37">
        <v>-0.61636091834019791</v>
      </c>
      <c r="D28" s="37">
        <v>-0.57700780854460942</v>
      </c>
      <c r="E28" s="37">
        <v>-0.5215551172247489</v>
      </c>
      <c r="F28" s="37">
        <v>-0.46049234544763523</v>
      </c>
      <c r="G28" s="37">
        <v>-0.40116050791196678</v>
      </c>
      <c r="H28" s="37">
        <v>-0.34736835639231273</v>
      </c>
      <c r="I28" s="38" t="s">
        <v>154</v>
      </c>
    </row>
    <row r="29" spans="1:9" ht="15">
      <c r="A29" s="19" t="s">
        <v>152</v>
      </c>
      <c r="B29" s="35" t="s">
        <v>155</v>
      </c>
      <c r="C29" s="37">
        <v>1.6706976125375634</v>
      </c>
      <c r="D29" s="37">
        <v>1.6310362304154784</v>
      </c>
      <c r="E29" s="37">
        <v>1.5746009769426763</v>
      </c>
      <c r="F29" s="37">
        <v>1.5121158657875833</v>
      </c>
      <c r="G29" s="37">
        <v>1.4511590019560254</v>
      </c>
      <c r="H29" s="37">
        <v>1.3957191013655614</v>
      </c>
      <c r="I29" s="38" t="s">
        <v>156</v>
      </c>
    </row>
    <row r="30" spans="1:9" ht="15">
      <c r="A30" s="19" t="s">
        <v>152</v>
      </c>
      <c r="B30" s="35" t="s">
        <v>157</v>
      </c>
      <c r="C30" s="37">
        <v>1.7206772543518369</v>
      </c>
      <c r="D30" s="37">
        <v>1.6557406472339675</v>
      </c>
      <c r="E30" s="37">
        <v>1.5762505867928527</v>
      </c>
      <c r="F30" s="37">
        <v>1.4960508701670439</v>
      </c>
      <c r="G30" s="37">
        <v>1.4228872754067396</v>
      </c>
      <c r="H30" s="37">
        <v>1.3596195696618016</v>
      </c>
      <c r="I30" s="38" t="s">
        <v>156</v>
      </c>
    </row>
    <row r="31" spans="1:9" ht="15">
      <c r="A31" s="19" t="s">
        <v>152</v>
      </c>
      <c r="B31" s="35" t="s">
        <v>158</v>
      </c>
      <c r="C31" s="37">
        <v>-0.64478629059240344</v>
      </c>
      <c r="D31" s="37">
        <v>-0.58347063533696131</v>
      </c>
      <c r="E31" s="37">
        <v>-0.50835828153991114</v>
      </c>
      <c r="F31" s="37">
        <v>-0.43261310584227514</v>
      </c>
      <c r="G31" s="37">
        <v>-0.36360345640705222</v>
      </c>
      <c r="H31" s="37">
        <v>-0.30404368359437756</v>
      </c>
      <c r="I31" s="38" t="s">
        <v>154</v>
      </c>
    </row>
    <row r="32" spans="1:9" ht="13">
      <c r="A32" s="19"/>
      <c r="B32" s="19" t="s">
        <v>159</v>
      </c>
      <c r="C32" s="39"/>
      <c r="D32" s="39"/>
      <c r="E32" s="39"/>
      <c r="F32" s="39"/>
      <c r="G32" s="39"/>
      <c r="H32" s="39"/>
      <c r="I32" s="27"/>
    </row>
    <row r="33" spans="1:9" ht="13">
      <c r="A33" s="19" t="s">
        <v>160</v>
      </c>
      <c r="B33" s="32" t="s">
        <v>161</v>
      </c>
      <c r="C33" s="40">
        <f t="shared" ref="C33:H33" si="6">(C24*C19^C28*C26^C29+C13*C19/C5-C13*C11/C10-C25*C19^C30*C26^C31-C14*C26/C6+C14*C12/C10+C15)</f>
        <v>1.3642420526593924E-12</v>
      </c>
      <c r="D33" s="40">
        <f t="shared" si="6"/>
        <v>-2.2737367544323206E-12</v>
      </c>
      <c r="E33" s="40">
        <f t="shared" si="6"/>
        <v>-4.5474735088646412E-13</v>
      </c>
      <c r="F33" s="40">
        <f t="shared" si="6"/>
        <v>2.4875816961866803E-7</v>
      </c>
      <c r="G33" s="40">
        <f t="shared" si="6"/>
        <v>-1.8189894035458565E-12</v>
      </c>
      <c r="H33" s="40">
        <f t="shared" si="6"/>
        <v>4.5474735088646412E-12</v>
      </c>
      <c r="I33" s="27"/>
    </row>
    <row r="34" spans="1:9" ht="13">
      <c r="A34" s="19" t="s">
        <v>162</v>
      </c>
      <c r="B34" s="32" t="s">
        <v>163</v>
      </c>
      <c r="C34" s="40">
        <f t="shared" ref="C34:H34" si="7">(C24*C20^C28*C27^C29+C13*C20/C5-C13*C11/C10-C25*C20^C30*C27^C31-C14*C27/C6+C14*C12/C10-C16)</f>
        <v>-6.8212102632969618E-13</v>
      </c>
      <c r="D34" s="40">
        <f t="shared" si="7"/>
        <v>6.8212102632969618E-13</v>
      </c>
      <c r="E34" s="40">
        <f t="shared" si="7"/>
        <v>-9.0949470177292824E-13</v>
      </c>
      <c r="F34" s="40">
        <f t="shared" si="7"/>
        <v>1.1963379620283376E-7</v>
      </c>
      <c r="G34" s="40">
        <f t="shared" si="7"/>
        <v>-6.8212102632969618E-13</v>
      </c>
      <c r="H34" s="40">
        <f t="shared" si="7"/>
        <v>1.1368683772161603E-12</v>
      </c>
      <c r="I34" s="27"/>
    </row>
    <row r="35" spans="1:9" ht="13">
      <c r="A35" s="19" t="s">
        <v>164</v>
      </c>
      <c r="B35" s="32" t="s">
        <v>165</v>
      </c>
      <c r="C35" s="40">
        <f t="shared" ref="C35:H35" si="8">(C28*C24*C19^(C28-1)*C26^C29+C13/C5-C30*C25*C19^(C30-1)*C26^C31)</f>
        <v>-7.1054273576010019E-15</v>
      </c>
      <c r="D35" s="40">
        <f t="shared" si="8"/>
        <v>1.2434497875801753E-14</v>
      </c>
      <c r="E35" s="40">
        <f t="shared" si="8"/>
        <v>-5.3290705182007514E-15</v>
      </c>
      <c r="F35" s="40">
        <f t="shared" si="8"/>
        <v>4.318874147202223E-10</v>
      </c>
      <c r="G35" s="40">
        <f t="shared" si="8"/>
        <v>-1.0658141036401503E-14</v>
      </c>
      <c r="H35" s="40">
        <f t="shared" si="8"/>
        <v>-1.7763568394002505E-14</v>
      </c>
      <c r="I35" s="27"/>
    </row>
    <row r="36" spans="1:9" ht="13">
      <c r="A36" s="19" t="s">
        <v>166</v>
      </c>
      <c r="B36" s="32" t="s">
        <v>167</v>
      </c>
      <c r="C36" s="40">
        <f t="shared" ref="C36:H36" si="9">(C29*C24*C19^C28*C26^(C29-1)-C31*C25*C19^C30*C26^(C31-1)-C14/C6)</f>
        <v>7.1054273576010019E-15</v>
      </c>
      <c r="D36" s="40">
        <f t="shared" si="9"/>
        <v>-1.4210854715202004E-14</v>
      </c>
      <c r="E36" s="40">
        <f t="shared" si="9"/>
        <v>-1.0658141036401503E-14</v>
      </c>
      <c r="F36" s="40">
        <f t="shared" si="9"/>
        <v>1.1218403983548342E-9</v>
      </c>
      <c r="G36" s="40">
        <f t="shared" si="9"/>
        <v>-7.1054273576010019E-15</v>
      </c>
      <c r="H36" s="40">
        <f t="shared" si="9"/>
        <v>1.4210854715202004E-14</v>
      </c>
      <c r="I36" s="27"/>
    </row>
    <row r="37" spans="1:9" ht="13">
      <c r="A37" s="19" t="s">
        <v>168</v>
      </c>
      <c r="B37" s="32" t="s">
        <v>169</v>
      </c>
      <c r="C37" s="40">
        <f t="shared" ref="C37:H37" si="10">(C28*C24*C20^(C28-1)*C27^C29+C13/C5-C30*C25*C20^(C30-1)*C27^C31)</f>
        <v>0</v>
      </c>
      <c r="D37" s="40">
        <f t="shared" si="10"/>
        <v>0</v>
      </c>
      <c r="E37" s="40">
        <f t="shared" si="10"/>
        <v>-7.1054273576010019E-15</v>
      </c>
      <c r="F37" s="40">
        <f t="shared" si="10"/>
        <v>4.3869263777196466E-10</v>
      </c>
      <c r="G37" s="40">
        <f t="shared" si="10"/>
        <v>-3.5527136788005009E-15</v>
      </c>
      <c r="H37" s="40">
        <f t="shared" si="10"/>
        <v>-3.5527136788005009E-15</v>
      </c>
      <c r="I37" s="27"/>
    </row>
    <row r="38" spans="1:9" ht="13">
      <c r="A38" s="19" t="s">
        <v>170</v>
      </c>
      <c r="B38" s="32" t="s">
        <v>171</v>
      </c>
      <c r="C38" s="40">
        <f t="shared" ref="C38:H38" si="11">(C29*C24*C20^C28*C27^(C29-1)-C31*C25*C20^C30*C27^(C31-1)-C14/C6)</f>
        <v>1.7763568394002505E-14</v>
      </c>
      <c r="D38" s="40">
        <f t="shared" si="11"/>
        <v>-1.7763568394002505E-14</v>
      </c>
      <c r="E38" s="40">
        <f t="shared" si="11"/>
        <v>0</v>
      </c>
      <c r="F38" s="40">
        <f t="shared" si="11"/>
        <v>1.7942127783499018E-9</v>
      </c>
      <c r="G38" s="40">
        <f t="shared" si="11"/>
        <v>-7.1054273576010019E-15</v>
      </c>
      <c r="H38" s="40">
        <f t="shared" si="11"/>
        <v>-7.1054273576010019E-15</v>
      </c>
      <c r="I38" s="27"/>
    </row>
    <row r="39" spans="1:9" ht="13">
      <c r="A39" s="19" t="s">
        <v>172</v>
      </c>
      <c r="B39" s="32" t="s">
        <v>173</v>
      </c>
      <c r="C39" s="40">
        <f t="shared" ref="C39:H39" si="12">0.5*C7^2*C28*(C28-1)+0.5*C8^2*C29*(C29-1)+C9*C7*C8*C28*C29+C28*(C10-C5)+C29*(C10-C6)-C10</f>
        <v>0</v>
      </c>
      <c r="D39" s="40">
        <f t="shared" si="12"/>
        <v>0</v>
      </c>
      <c r="E39" s="40">
        <f t="shared" si="12"/>
        <v>0</v>
      </c>
      <c r="F39" s="40">
        <f t="shared" si="12"/>
        <v>2.3495094758629875E-14</v>
      </c>
      <c r="G39" s="40">
        <f t="shared" si="12"/>
        <v>0</v>
      </c>
      <c r="H39" s="40">
        <f t="shared" si="12"/>
        <v>0</v>
      </c>
      <c r="I39" s="27"/>
    </row>
    <row r="40" spans="1:9" ht="13">
      <c r="A40" s="19" t="s">
        <v>174</v>
      </c>
      <c r="B40" s="32" t="s">
        <v>175</v>
      </c>
      <c r="C40" s="40">
        <f t="shared" ref="C40:H40" si="13">0.5*C7^2*C30*(C30-1)+0.5*C8^2*C31*(C31-1)+C9*C7*C8*C30*C31+C30*(C10-C5)+C31*(C10-C6)-C10</f>
        <v>0</v>
      </c>
      <c r="D40" s="40">
        <f t="shared" si="13"/>
        <v>0</v>
      </c>
      <c r="E40" s="40">
        <f t="shared" si="13"/>
        <v>0</v>
      </c>
      <c r="F40" s="40">
        <f t="shared" si="13"/>
        <v>-1.3279516375419576E-12</v>
      </c>
      <c r="G40" s="40">
        <f t="shared" si="13"/>
        <v>0</v>
      </c>
      <c r="H40" s="40">
        <f t="shared" si="13"/>
        <v>0</v>
      </c>
      <c r="I40" s="27"/>
    </row>
    <row r="41" spans="1:9" ht="13">
      <c r="A41" s="19"/>
      <c r="B41" s="19" t="s">
        <v>176</v>
      </c>
      <c r="C41" s="41">
        <f t="shared" ref="C41:H41" si="14">SUM(ABS(C33)+ABS(C34)+ABS(C35)+ABS(C36)+ABS(C37)+ABS(C38)+ABS(C39)+ABS(C40))</f>
        <v>2.078337502098293E-12</v>
      </c>
      <c r="D41" s="41">
        <f t="shared" si="14"/>
        <v>3.000266701747023E-12</v>
      </c>
      <c r="E41" s="41">
        <f t="shared" si="14"/>
        <v>1.3873346915715956E-12</v>
      </c>
      <c r="F41" s="41">
        <f t="shared" si="14"/>
        <v>3.7217995049743102E-7</v>
      </c>
      <c r="G41" s="41">
        <f t="shared" si="14"/>
        <v>2.5295321393059567E-12</v>
      </c>
      <c r="H41" s="41">
        <f t="shared" si="14"/>
        <v>5.7269744502264075E-12</v>
      </c>
      <c r="I41" s="51">
        <f t="array" ref="I41">SUM(ABS(C41:F41))</f>
        <v>3.7218641643632644E-7</v>
      </c>
    </row>
    <row r="42" spans="1:9" ht="15">
      <c r="B42" s="19" t="s">
        <v>207</v>
      </c>
      <c r="C42" s="41">
        <f t="shared" ref="C42:H42" si="15">C26-C27</f>
        <v>84.771570954692294</v>
      </c>
      <c r="D42" s="41">
        <f t="shared" si="15"/>
        <v>86.51244116256656</v>
      </c>
      <c r="E42" s="41">
        <f t="shared" si="15"/>
        <v>89.400917180780908</v>
      </c>
      <c r="F42" s="41">
        <f t="shared" si="15"/>
        <v>93.028607468719855</v>
      </c>
      <c r="G42" s="41">
        <f t="shared" si="15"/>
        <v>97.035670889165544</v>
      </c>
      <c r="H42" s="41">
        <f t="shared" si="15"/>
        <v>101.14482664785257</v>
      </c>
      <c r="I42" s="42"/>
    </row>
    <row r="43" spans="1:9" ht="13">
      <c r="B43" s="32" t="s">
        <v>208</v>
      </c>
    </row>
    <row r="44" spans="1:9" ht="13">
      <c r="A44" s="32" t="s">
        <v>161</v>
      </c>
      <c r="B44" s="52" t="s">
        <v>209</v>
      </c>
    </row>
    <row r="45" spans="1:9" ht="13">
      <c r="A45" s="32" t="s">
        <v>163</v>
      </c>
      <c r="B45" s="52" t="s">
        <v>210</v>
      </c>
    </row>
    <row r="46" spans="1:9" ht="13">
      <c r="A46" s="32" t="s">
        <v>165</v>
      </c>
      <c r="B46" s="40" t="s">
        <v>211</v>
      </c>
    </row>
    <row r="47" spans="1:9" ht="13">
      <c r="A47" s="32" t="s">
        <v>167</v>
      </c>
      <c r="B47" s="40" t="s">
        <v>212</v>
      </c>
    </row>
    <row r="48" spans="1:9" ht="13">
      <c r="A48" s="32" t="s">
        <v>169</v>
      </c>
      <c r="B48" s="40" t="s">
        <v>213</v>
      </c>
    </row>
    <row r="49" spans="1:2" ht="13">
      <c r="A49" s="32" t="s">
        <v>171</v>
      </c>
      <c r="B49" s="40" t="s">
        <v>214</v>
      </c>
    </row>
    <row r="50" spans="1:2" ht="13">
      <c r="A50" s="32" t="s">
        <v>173</v>
      </c>
      <c r="B50" s="40" t="s">
        <v>192</v>
      </c>
    </row>
    <row r="51" spans="1:2" ht="13">
      <c r="A51" s="32" t="s">
        <v>175</v>
      </c>
      <c r="B51" s="40" t="s">
        <v>193</v>
      </c>
    </row>
    <row r="53" spans="1:2" ht="15">
      <c r="A53" s="32" t="s">
        <v>205</v>
      </c>
      <c r="B53" s="27" t="s">
        <v>215</v>
      </c>
    </row>
    <row r="54" spans="1:2" ht="15">
      <c r="A54" s="32" t="s">
        <v>206</v>
      </c>
      <c r="B54" s="27" t="s">
        <v>216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46"/>
  <sheetViews>
    <sheetView topLeftCell="A12" workbookViewId="0">
      <selection activeCell="C17" sqref="C17"/>
    </sheetView>
  </sheetViews>
  <sheetFormatPr defaultRowHeight="12.5"/>
  <cols>
    <col min="1" max="1" width="26.7265625" bestFit="1" customWidth="1"/>
  </cols>
  <sheetData>
    <row r="1" spans="1:6" ht="15">
      <c r="A1" s="18" t="s">
        <v>217</v>
      </c>
      <c r="B1" s="19"/>
      <c r="C1" s="20"/>
      <c r="D1" s="19"/>
      <c r="E1" s="19"/>
      <c r="F1" s="19"/>
    </row>
    <row r="2" spans="1:6" ht="13.5">
      <c r="A2" s="19" t="s">
        <v>218</v>
      </c>
      <c r="C2" s="21" t="s">
        <v>23</v>
      </c>
      <c r="D2" s="19"/>
      <c r="E2" s="19"/>
      <c r="F2" s="19"/>
    </row>
    <row r="3" spans="1:6" ht="13">
      <c r="A3" s="19" t="s">
        <v>111</v>
      </c>
      <c r="B3" s="19" t="s">
        <v>17</v>
      </c>
      <c r="C3" s="22">
        <v>100</v>
      </c>
      <c r="D3" s="23" t="s">
        <v>23</v>
      </c>
      <c r="E3" s="19"/>
      <c r="F3" s="19"/>
    </row>
    <row r="4" spans="1:6" ht="13">
      <c r="A4" s="19" t="s">
        <v>112</v>
      </c>
      <c r="B4" s="19" t="s">
        <v>113</v>
      </c>
      <c r="C4" s="19">
        <v>100</v>
      </c>
      <c r="D4" s="23" t="s">
        <v>23</v>
      </c>
      <c r="E4" s="19"/>
      <c r="F4" s="19"/>
    </row>
    <row r="5" spans="1:6" ht="15">
      <c r="A5" s="19" t="s">
        <v>114</v>
      </c>
      <c r="B5" s="14" t="s">
        <v>115</v>
      </c>
      <c r="C5" s="14">
        <v>0.03</v>
      </c>
      <c r="D5" s="23"/>
      <c r="E5" s="19"/>
      <c r="F5" s="19"/>
    </row>
    <row r="6" spans="1:6" ht="15">
      <c r="A6" s="19" t="s">
        <v>116</v>
      </c>
      <c r="B6" s="14" t="s">
        <v>117</v>
      </c>
      <c r="C6" s="14">
        <v>0.03</v>
      </c>
      <c r="D6" s="24"/>
      <c r="E6" s="19"/>
      <c r="F6" s="19"/>
    </row>
    <row r="7" spans="1:6" ht="15">
      <c r="A7" s="19" t="s">
        <v>118</v>
      </c>
      <c r="B7" s="14" t="s">
        <v>119</v>
      </c>
      <c r="C7" s="25">
        <v>0.4</v>
      </c>
      <c r="D7" s="24"/>
      <c r="E7" s="19"/>
      <c r="F7" s="19"/>
    </row>
    <row r="8" spans="1:6" ht="15">
      <c r="A8" s="19" t="s">
        <v>120</v>
      </c>
      <c r="B8" s="14" t="s">
        <v>121</v>
      </c>
      <c r="C8" s="25">
        <v>0.3</v>
      </c>
      <c r="D8" s="24"/>
      <c r="E8" s="19"/>
      <c r="F8" s="19"/>
    </row>
    <row r="9" spans="1:6" ht="13">
      <c r="A9" s="19" t="s">
        <v>122</v>
      </c>
      <c r="B9" s="14" t="s">
        <v>123</v>
      </c>
      <c r="C9" s="25">
        <v>0.5</v>
      </c>
      <c r="D9" s="24"/>
      <c r="E9" s="19"/>
      <c r="F9" s="19"/>
    </row>
    <row r="10" spans="1:6" ht="13">
      <c r="A10" s="19" t="s">
        <v>124</v>
      </c>
      <c r="B10" s="14" t="s">
        <v>0</v>
      </c>
      <c r="C10" s="14">
        <v>0.05</v>
      </c>
      <c r="D10" s="24"/>
      <c r="E10" s="19"/>
      <c r="F10" s="19"/>
    </row>
    <row r="11" spans="1:6" ht="15">
      <c r="A11" s="19" t="s">
        <v>125</v>
      </c>
      <c r="B11" s="14" t="s">
        <v>126</v>
      </c>
      <c r="C11" s="26">
        <v>0</v>
      </c>
      <c r="D11" s="24"/>
      <c r="E11" s="19"/>
      <c r="F11" s="19"/>
    </row>
    <row r="12" spans="1:6" ht="15">
      <c r="A12" s="19" t="s">
        <v>127</v>
      </c>
      <c r="B12" s="14" t="s">
        <v>128</v>
      </c>
      <c r="C12" s="26">
        <v>0</v>
      </c>
      <c r="D12" s="24"/>
      <c r="E12" s="19"/>
      <c r="F12" s="19"/>
    </row>
    <row r="13" spans="1:6" ht="15">
      <c r="A13" s="19" t="s">
        <v>129</v>
      </c>
      <c r="B13" s="14" t="s">
        <v>130</v>
      </c>
      <c r="C13" s="24">
        <v>50</v>
      </c>
      <c r="D13" s="24"/>
      <c r="E13" s="19"/>
      <c r="F13" s="19"/>
    </row>
    <row r="14" spans="1:6" ht="13">
      <c r="A14" s="19" t="s">
        <v>23</v>
      </c>
      <c r="B14" s="14" t="s">
        <v>23</v>
      </c>
      <c r="C14" s="24" t="s">
        <v>23</v>
      </c>
      <c r="D14" s="24"/>
      <c r="E14" s="19"/>
      <c r="F14" s="19"/>
    </row>
    <row r="15" spans="1:6" ht="13">
      <c r="A15" s="19" t="s">
        <v>133</v>
      </c>
      <c r="B15" s="19" t="s">
        <v>3</v>
      </c>
      <c r="C15" s="27">
        <f>(C3/C5-C11/C10)</f>
        <v>3333.3333333333335</v>
      </c>
      <c r="D15" s="27" t="s">
        <v>435</v>
      </c>
      <c r="E15" s="19"/>
      <c r="F15" s="19"/>
    </row>
    <row r="16" spans="1:6" ht="13">
      <c r="A16" s="19" t="s">
        <v>135</v>
      </c>
      <c r="B16" s="19" t="s">
        <v>136</v>
      </c>
      <c r="C16" s="27">
        <f>(C4/C6-C12/C10)</f>
        <v>3333.3333333333335</v>
      </c>
      <c r="D16" s="27" t="s">
        <v>436</v>
      </c>
      <c r="E16" s="19"/>
      <c r="F16" s="19"/>
    </row>
    <row r="17" spans="1:6" ht="15">
      <c r="A17" s="19" t="s">
        <v>149</v>
      </c>
      <c r="B17" s="14" t="s">
        <v>139</v>
      </c>
      <c r="C17" s="28">
        <f>C3</f>
        <v>100</v>
      </c>
      <c r="D17" s="24"/>
      <c r="E17" s="19"/>
      <c r="F17" s="19"/>
    </row>
    <row r="18" spans="1:6" ht="13">
      <c r="A18" s="19" t="s">
        <v>23</v>
      </c>
      <c r="B18" s="14" t="s">
        <v>23</v>
      </c>
      <c r="C18" s="28" t="s">
        <v>23</v>
      </c>
      <c r="D18" s="24"/>
      <c r="E18" s="19"/>
      <c r="F18" s="19"/>
    </row>
    <row r="19" spans="1:6" ht="13">
      <c r="A19" s="19"/>
      <c r="B19" s="19" t="s">
        <v>142</v>
      </c>
      <c r="C19" s="19"/>
      <c r="D19" s="19" t="s">
        <v>143</v>
      </c>
      <c r="E19" s="19"/>
      <c r="F19" s="19"/>
    </row>
    <row r="20" spans="1:6" ht="15">
      <c r="A20" s="19" t="s">
        <v>144</v>
      </c>
      <c r="B20" s="29" t="s">
        <v>145</v>
      </c>
      <c r="C20" s="30">
        <f>C3/C5-C11/C10+C22*C3^C24*C4^C25</f>
        <v>4875.0236995965624</v>
      </c>
      <c r="D20" s="31">
        <f>C20-C15</f>
        <v>1541.690366263229</v>
      </c>
      <c r="E20" s="19"/>
      <c r="F20" s="19"/>
    </row>
    <row r="21" spans="1:6" ht="15">
      <c r="A21" s="19" t="s">
        <v>146</v>
      </c>
      <c r="B21" s="29" t="s">
        <v>147</v>
      </c>
      <c r="C21" s="30">
        <f>C4/C6-C12/C10</f>
        <v>3333.3333333333335</v>
      </c>
      <c r="D21" s="27">
        <f>C21-C16</f>
        <v>0</v>
      </c>
      <c r="E21" s="19"/>
      <c r="F21" s="19"/>
    </row>
    <row r="22" spans="1:6" ht="13">
      <c r="A22" s="19"/>
      <c r="B22" s="32" t="s">
        <v>27</v>
      </c>
      <c r="C22" s="33">
        <v>15.059023222550348</v>
      </c>
      <c r="D22" s="34"/>
      <c r="E22" s="19"/>
      <c r="F22" s="19"/>
    </row>
    <row r="23" spans="1:6" ht="15">
      <c r="A23" s="19" t="s">
        <v>149</v>
      </c>
      <c r="B23" s="35" t="s">
        <v>150</v>
      </c>
      <c r="C23" s="36">
        <v>395.60739452114115</v>
      </c>
      <c r="D23" s="23"/>
      <c r="E23" s="19"/>
      <c r="F23" s="19"/>
    </row>
    <row r="24" spans="1:6" ht="15">
      <c r="A24" s="19" t="s">
        <v>152</v>
      </c>
      <c r="B24" s="35" t="s">
        <v>153</v>
      </c>
      <c r="C24" s="37">
        <v>-0.34001185234814363</v>
      </c>
      <c r="D24" s="38" t="s">
        <v>154</v>
      </c>
      <c r="E24" s="19"/>
      <c r="F24" s="19"/>
    </row>
    <row r="25" spans="1:6" ht="15">
      <c r="A25" s="19" t="s">
        <v>152</v>
      </c>
      <c r="B25" s="35" t="s">
        <v>155</v>
      </c>
      <c r="C25" s="37">
        <v>1.3451120301324535</v>
      </c>
      <c r="D25" s="38" t="s">
        <v>156</v>
      </c>
      <c r="E25" s="19"/>
      <c r="F25" s="19"/>
    </row>
    <row r="26" spans="1:6" ht="13">
      <c r="A26" s="19"/>
      <c r="B26" s="19" t="s">
        <v>159</v>
      </c>
      <c r="C26" s="39"/>
      <c r="D26" s="27"/>
      <c r="E26" s="19"/>
      <c r="F26" s="19"/>
    </row>
    <row r="27" spans="1:6" ht="13">
      <c r="A27" s="19" t="s">
        <v>160</v>
      </c>
      <c r="B27" s="32" t="s">
        <v>219</v>
      </c>
      <c r="C27" s="40">
        <f>(C22*C17^C24*C23^C25+C17/C5-C11/C10-C23/C6+C12/C10+C13)</f>
        <v>-1.584339770488441E-9</v>
      </c>
      <c r="D27" s="27"/>
      <c r="E27" s="19"/>
      <c r="F27" s="19"/>
    </row>
    <row r="28" spans="1:6" ht="13">
      <c r="A28" s="19" t="s">
        <v>164</v>
      </c>
      <c r="B28" s="32" t="s">
        <v>220</v>
      </c>
      <c r="C28" s="40">
        <f>(C24*C22*C17^(C24-1)*C23^C25+1/C5)</f>
        <v>-1.3442047475109575E-10</v>
      </c>
      <c r="D28" s="27"/>
      <c r="E28" s="19"/>
      <c r="F28" s="19"/>
    </row>
    <row r="29" spans="1:6" ht="13">
      <c r="A29" s="19" t="s">
        <v>166</v>
      </c>
      <c r="B29" s="32" t="s">
        <v>221</v>
      </c>
      <c r="C29" s="40">
        <f>(C25*C22*C17^C24*C23^(C25-1)-1/C6)</f>
        <v>7.8799189395795111E-12</v>
      </c>
      <c r="D29" s="27"/>
      <c r="E29" s="19"/>
      <c r="F29" s="19"/>
    </row>
    <row r="30" spans="1:6" ht="13">
      <c r="A30" s="19" t="s">
        <v>172</v>
      </c>
      <c r="B30" s="32" t="s">
        <v>107</v>
      </c>
      <c r="C30" s="40">
        <f>0.5*C7^2*C24*(C24-1)+0.5*C8^2*C25*(C25-1)+C9*C7*C8*C24*C25+C24*(C10-C5)+C25*(C10-C6)-C10</f>
        <v>5.3707038816241948E-15</v>
      </c>
      <c r="D30" s="27"/>
      <c r="E30" s="19"/>
      <c r="F30" s="19"/>
    </row>
    <row r="31" spans="1:6" ht="13">
      <c r="A31" s="19"/>
      <c r="B31" s="19" t="s">
        <v>176</v>
      </c>
      <c r="C31" s="41">
        <f t="array" ref="C31">SUM(ABS(C27:C30))</f>
        <v>1.7266455348829979E-9</v>
      </c>
      <c r="D31" s="42" t="s">
        <v>23</v>
      </c>
      <c r="E31" s="19"/>
      <c r="F31" s="19"/>
    </row>
    <row r="32" spans="1:6" ht="13">
      <c r="B32" s="32" t="s">
        <v>222</v>
      </c>
    </row>
    <row r="33" spans="1:4" ht="13">
      <c r="A33" s="32" t="str">
        <f>B27</f>
        <v>EQ 19</v>
      </c>
      <c r="B33" s="40" t="s">
        <v>223</v>
      </c>
    </row>
    <row r="34" spans="1:4" ht="13">
      <c r="A34" s="32" t="str">
        <f>B28</f>
        <v>EQ 20</v>
      </c>
      <c r="B34" s="40" t="s">
        <v>224</v>
      </c>
    </row>
    <row r="35" spans="1:4" ht="13">
      <c r="A35" s="32" t="str">
        <f>B29</f>
        <v>EQ 21</v>
      </c>
      <c r="B35" s="40" t="s">
        <v>225</v>
      </c>
    </row>
    <row r="36" spans="1:4" ht="13">
      <c r="A36" s="32" t="str">
        <f>B30</f>
        <v>EQ 22</v>
      </c>
      <c r="B36" s="53" t="s">
        <v>226</v>
      </c>
    </row>
    <row r="37" spans="1:4" ht="13">
      <c r="A37" s="32" t="s">
        <v>194</v>
      </c>
      <c r="C37" s="11">
        <f>C23-C4</f>
        <v>295.60739452114115</v>
      </c>
    </row>
    <row r="38" spans="1:4" ht="15">
      <c r="A38" s="32" t="s">
        <v>195</v>
      </c>
      <c r="B38" s="54" t="s">
        <v>227</v>
      </c>
    </row>
    <row r="39" spans="1:4" ht="15">
      <c r="A39" s="32" t="s">
        <v>197</v>
      </c>
      <c r="B39" s="54" t="s">
        <v>228</v>
      </c>
    </row>
    <row r="40" spans="1:4">
      <c r="A40" t="s">
        <v>423</v>
      </c>
      <c r="B40" s="1" t="s">
        <v>23</v>
      </c>
      <c r="C40" s="1">
        <f>0.5*(C7^2)*(C3^2)*C43+0.5*(C8^2)*(C4^2)*C44+C9*C7*C8*C3*C4*C45+(C10-C5)*C3*C41+(C10-C6)*C4*C42-C10*C20+(C3-C11)</f>
        <v>8.2138740253867581E-12</v>
      </c>
    </row>
    <row r="41" spans="1:4" ht="14.5">
      <c r="A41" s="73" t="s">
        <v>424</v>
      </c>
      <c r="B41" s="74" t="s">
        <v>23</v>
      </c>
      <c r="C41" s="74">
        <f>C24*C22*(C3^(C24-1))*(C4^C25)+1/C5</f>
        <v>28.091403361528855</v>
      </c>
      <c r="D41" s="74" t="s">
        <v>429</v>
      </c>
    </row>
    <row r="42" spans="1:4" ht="14.5">
      <c r="A42" s="73" t="s">
        <v>425</v>
      </c>
      <c r="B42" s="74" t="s">
        <v>23</v>
      </c>
      <c r="C42" s="74">
        <f>C25*C22*(C3^C24)*(C4^(C25-1))</f>
        <v>20.737462583999765</v>
      </c>
      <c r="D42" s="74" t="s">
        <v>430</v>
      </c>
    </row>
    <row r="43" spans="1:4" ht="14.5">
      <c r="A43" s="73" t="s">
        <v>426</v>
      </c>
      <c r="B43" s="74" t="s">
        <v>23</v>
      </c>
      <c r="C43" s="74">
        <f>C24*(C24-1)*C22*(C3^(C24-2))*(C4^C25)</f>
        <v>7.0242482913969714E-2</v>
      </c>
      <c r="D43" s="74" t="s">
        <v>431</v>
      </c>
    </row>
    <row r="44" spans="1:4" ht="14.5">
      <c r="A44" s="73" t="s">
        <v>427</v>
      </c>
      <c r="B44" s="74" t="s">
        <v>23</v>
      </c>
      <c r="C44" s="74">
        <f>C25*(C25-1)*C22*(C3^C24)*(C4^(C25-2))</f>
        <v>7.1567478121599498E-2</v>
      </c>
      <c r="D44" s="74" t="s">
        <v>432</v>
      </c>
    </row>
    <row r="45" spans="1:4" ht="14.5">
      <c r="A45" s="73" t="s">
        <v>428</v>
      </c>
      <c r="B45" s="74" t="s">
        <v>23</v>
      </c>
      <c r="C45" s="74">
        <f>C24*C25*C22*(C3^(C24-1))*(C4^(C25-1))</f>
        <v>-7.0509830661860784E-2</v>
      </c>
      <c r="D45" s="74" t="s">
        <v>434</v>
      </c>
    </row>
    <row r="46" spans="1:4">
      <c r="A46" s="75" t="s">
        <v>433</v>
      </c>
    </row>
  </sheetData>
  <printOptions horizontalCentered="1" headings="1"/>
  <pageMargins left="0.7" right="0.7" top="0.75" bottom="0.75" header="0.3" footer="0.3"/>
  <pageSetup scale="8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32DDD-822E-4D2E-B9A6-B4DFFF7FA973}">
  <dimension ref="A1"/>
  <sheetViews>
    <sheetView tabSelected="1" workbookViewId="0"/>
  </sheetViews>
  <sheetFormatPr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47"/>
  <sheetViews>
    <sheetView topLeftCell="A14" workbookViewId="0">
      <selection activeCell="C22" sqref="C22"/>
    </sheetView>
  </sheetViews>
  <sheetFormatPr defaultRowHeight="12.5"/>
  <cols>
    <col min="1" max="1" width="26.7265625" bestFit="1" customWidth="1"/>
  </cols>
  <sheetData>
    <row r="1" spans="1:6" ht="15">
      <c r="A1" s="18" t="s">
        <v>229</v>
      </c>
      <c r="B1" s="19"/>
      <c r="C1" s="20"/>
      <c r="D1" s="19"/>
      <c r="E1" s="19"/>
      <c r="F1" s="19"/>
    </row>
    <row r="2" spans="1:6" ht="13.5">
      <c r="A2" s="19"/>
      <c r="B2" s="19" t="s">
        <v>24</v>
      </c>
      <c r="C2" s="21"/>
      <c r="D2" s="19"/>
      <c r="E2" s="19" t="s">
        <v>23</v>
      </c>
      <c r="F2" s="19" t="s">
        <v>23</v>
      </c>
    </row>
    <row r="3" spans="1:6" ht="13">
      <c r="A3" s="19" t="s">
        <v>2</v>
      </c>
      <c r="B3" s="19" t="s">
        <v>17</v>
      </c>
      <c r="C3" s="22">
        <v>100</v>
      </c>
      <c r="D3" s="23" t="s">
        <v>23</v>
      </c>
      <c r="E3" s="19"/>
      <c r="F3" s="19"/>
    </row>
    <row r="4" spans="1:6" ht="13">
      <c r="A4" s="19" t="s">
        <v>1</v>
      </c>
      <c r="B4" s="19" t="s">
        <v>113</v>
      </c>
      <c r="C4" s="19">
        <v>50</v>
      </c>
      <c r="D4" s="23" t="s">
        <v>23</v>
      </c>
      <c r="E4" s="19"/>
      <c r="F4" s="19"/>
    </row>
    <row r="5" spans="1:6" ht="15">
      <c r="A5" s="19" t="s">
        <v>114</v>
      </c>
      <c r="B5" s="14" t="s">
        <v>115</v>
      </c>
      <c r="C5" s="14">
        <v>0.04</v>
      </c>
      <c r="D5" s="23"/>
      <c r="E5" s="19"/>
      <c r="F5" s="19"/>
    </row>
    <row r="6" spans="1:6" ht="15">
      <c r="A6" s="19" t="s">
        <v>116</v>
      </c>
      <c r="B6" s="14" t="s">
        <v>117</v>
      </c>
      <c r="C6" s="14">
        <v>0.04</v>
      </c>
      <c r="D6" s="24"/>
      <c r="E6" s="19"/>
      <c r="F6" s="19"/>
    </row>
    <row r="7" spans="1:6" ht="15">
      <c r="A7" s="19" t="s">
        <v>118</v>
      </c>
      <c r="B7" s="14" t="s">
        <v>119</v>
      </c>
      <c r="C7" s="25">
        <v>0.4</v>
      </c>
      <c r="D7" s="24"/>
      <c r="E7" s="19"/>
      <c r="F7" s="19"/>
    </row>
    <row r="8" spans="1:6" ht="15">
      <c r="A8" s="19" t="s">
        <v>120</v>
      </c>
      <c r="B8" s="14" t="s">
        <v>121</v>
      </c>
      <c r="C8" s="25">
        <v>0.3</v>
      </c>
      <c r="D8" s="24"/>
      <c r="E8" s="19"/>
      <c r="F8" s="19"/>
    </row>
    <row r="9" spans="1:6" ht="13">
      <c r="A9" s="19" t="s">
        <v>122</v>
      </c>
      <c r="B9" s="14" t="s">
        <v>123</v>
      </c>
      <c r="C9" s="25">
        <v>0.5</v>
      </c>
      <c r="D9" s="24"/>
      <c r="E9" s="19"/>
      <c r="F9" s="19"/>
    </row>
    <row r="10" spans="1:6" ht="13">
      <c r="A10" s="19" t="s">
        <v>124</v>
      </c>
      <c r="B10" s="14" t="s">
        <v>0</v>
      </c>
      <c r="C10" s="14">
        <v>0.05</v>
      </c>
      <c r="D10" s="24"/>
      <c r="E10" s="19"/>
      <c r="F10" s="19"/>
    </row>
    <row r="11" spans="1:6" ht="13">
      <c r="A11" s="19" t="s">
        <v>23</v>
      </c>
      <c r="B11" s="14" t="s">
        <v>23</v>
      </c>
      <c r="C11" s="26" t="s">
        <v>23</v>
      </c>
      <c r="D11" s="24"/>
      <c r="E11" s="19"/>
      <c r="F11" s="19"/>
    </row>
    <row r="12" spans="1:6" ht="13">
      <c r="A12" s="19" t="s">
        <v>23</v>
      </c>
      <c r="B12" s="14" t="s">
        <v>23</v>
      </c>
      <c r="C12" s="26" t="s">
        <v>23</v>
      </c>
      <c r="D12" s="24"/>
      <c r="E12" s="19"/>
      <c r="F12" s="19"/>
    </row>
    <row r="13" spans="1:6" ht="13">
      <c r="A13" s="19" t="s">
        <v>23</v>
      </c>
      <c r="B13" s="14" t="s">
        <v>23</v>
      </c>
      <c r="C13" s="24" t="s">
        <v>23</v>
      </c>
      <c r="D13" s="24"/>
      <c r="E13" s="19"/>
      <c r="F13" s="19"/>
    </row>
    <row r="14" spans="1:6" ht="13">
      <c r="A14" s="19" t="s">
        <v>23</v>
      </c>
      <c r="B14" s="14" t="s">
        <v>23</v>
      </c>
      <c r="C14" s="24" t="s">
        <v>23</v>
      </c>
      <c r="D14" s="24"/>
      <c r="E14" s="19"/>
      <c r="F14" s="19"/>
    </row>
    <row r="15" spans="1:6" ht="15">
      <c r="A15" s="19" t="s">
        <v>129</v>
      </c>
      <c r="B15" s="14" t="s">
        <v>130</v>
      </c>
      <c r="C15" s="24">
        <v>50</v>
      </c>
      <c r="D15" s="24"/>
      <c r="E15" s="19"/>
      <c r="F15" s="19"/>
    </row>
    <row r="16" spans="1:6" ht="15">
      <c r="A16" s="19" t="s">
        <v>131</v>
      </c>
      <c r="B16" s="14" t="s">
        <v>132</v>
      </c>
      <c r="C16" s="24">
        <v>70</v>
      </c>
      <c r="D16" s="24"/>
      <c r="E16" s="19"/>
      <c r="F16" s="19"/>
    </row>
    <row r="17" spans="1:6" ht="13">
      <c r="A17" s="19" t="s">
        <v>23</v>
      </c>
      <c r="B17" s="19" t="s">
        <v>23</v>
      </c>
      <c r="C17" s="27" t="s">
        <v>23</v>
      </c>
      <c r="D17" s="24" t="s">
        <v>23</v>
      </c>
      <c r="E17" s="19"/>
      <c r="F17" s="19"/>
    </row>
    <row r="18" spans="1:6" ht="13">
      <c r="A18" s="19" t="s">
        <v>23</v>
      </c>
      <c r="B18" s="19" t="s">
        <v>23</v>
      </c>
      <c r="C18" s="27" t="s">
        <v>23</v>
      </c>
      <c r="D18" s="24" t="s">
        <v>23</v>
      </c>
      <c r="E18" s="19"/>
      <c r="F18" s="19"/>
    </row>
    <row r="19" spans="1:6" ht="15">
      <c r="A19" s="19" t="s">
        <v>231</v>
      </c>
      <c r="B19" s="14" t="s">
        <v>139</v>
      </c>
      <c r="C19" s="28">
        <f>C3</f>
        <v>100</v>
      </c>
      <c r="D19" s="24"/>
      <c r="E19" s="19"/>
      <c r="F19" s="19"/>
    </row>
    <row r="20" spans="1:6" ht="15">
      <c r="A20" s="19" t="s">
        <v>232</v>
      </c>
      <c r="B20" s="14" t="s">
        <v>141</v>
      </c>
      <c r="C20" s="28">
        <f>C3</f>
        <v>100</v>
      </c>
      <c r="D20" s="24"/>
      <c r="E20" s="19"/>
      <c r="F20" s="19"/>
    </row>
    <row r="21" spans="1:6" ht="13">
      <c r="A21" s="19"/>
      <c r="B21" s="19" t="s">
        <v>142</v>
      </c>
      <c r="C21" s="19"/>
      <c r="D21" s="19" t="s">
        <v>233</v>
      </c>
      <c r="E21" s="19" t="s">
        <v>234</v>
      </c>
      <c r="F21" s="19"/>
    </row>
    <row r="22" spans="1:6" ht="15">
      <c r="A22" s="19" t="s">
        <v>235</v>
      </c>
      <c r="B22" s="29" t="s">
        <v>145</v>
      </c>
      <c r="C22" s="55">
        <f>(C24*C3^C28*C4^C29+C3/C5-C4/C6)</f>
        <v>1718.2657420479586</v>
      </c>
      <c r="D22" s="55">
        <f>(C24*C19^C28*C4^C29)</f>
        <v>468.26574204795878</v>
      </c>
      <c r="E22" s="55">
        <f>C3/C5-C4/C6</f>
        <v>1250</v>
      </c>
      <c r="F22" s="19" t="s">
        <v>23</v>
      </c>
    </row>
    <row r="23" spans="1:6" ht="15">
      <c r="A23" s="19" t="s">
        <v>236</v>
      </c>
      <c r="B23" s="29" t="s">
        <v>147</v>
      </c>
      <c r="C23" s="55">
        <f>(C25*C3^C30*C4^C31)</f>
        <v>1649.1587624128756</v>
      </c>
      <c r="D23" s="55">
        <f>C23</f>
        <v>1649.1587624128756</v>
      </c>
      <c r="E23" s="55"/>
      <c r="F23" s="19" t="s">
        <v>23</v>
      </c>
    </row>
    <row r="24" spans="1:6" ht="13">
      <c r="A24" s="19"/>
      <c r="B24" s="32" t="s">
        <v>27</v>
      </c>
      <c r="C24" s="54">
        <v>10.170394199038284</v>
      </c>
      <c r="D24" s="34"/>
      <c r="E24" s="19"/>
      <c r="F24" s="19"/>
    </row>
    <row r="25" spans="1:6" ht="13">
      <c r="A25" s="19"/>
      <c r="B25" s="32" t="s">
        <v>148</v>
      </c>
      <c r="C25" s="54">
        <v>9.755269723969219</v>
      </c>
      <c r="D25" s="34"/>
      <c r="E25" s="19"/>
      <c r="F25" s="19"/>
    </row>
    <row r="26" spans="1:6" ht="15">
      <c r="A26" s="19" t="s">
        <v>231</v>
      </c>
      <c r="B26" s="35" t="s">
        <v>150</v>
      </c>
      <c r="C26" s="56">
        <v>150.21332482556244</v>
      </c>
      <c r="D26" s="23"/>
      <c r="E26" s="19"/>
      <c r="F26" s="19"/>
    </row>
    <row r="27" spans="1:6" ht="15">
      <c r="A27" s="19" t="s">
        <v>232</v>
      </c>
      <c r="B27" s="35" t="s">
        <v>151</v>
      </c>
      <c r="C27" s="56">
        <v>53.177653937553202</v>
      </c>
      <c r="D27" s="23"/>
      <c r="E27" s="19"/>
      <c r="F27" s="19"/>
    </row>
    <row r="28" spans="1:6" ht="15">
      <c r="A28" s="19" t="s">
        <v>152</v>
      </c>
      <c r="B28" s="35" t="s">
        <v>153</v>
      </c>
      <c r="C28" s="57">
        <v>-0.40116050791569402</v>
      </c>
      <c r="D28" s="38" t="s">
        <v>154</v>
      </c>
      <c r="E28" s="19"/>
      <c r="F28" s="19"/>
    </row>
    <row r="29" spans="1:6" ht="15">
      <c r="A29" s="19" t="s">
        <v>152</v>
      </c>
      <c r="B29" s="35" t="s">
        <v>155</v>
      </c>
      <c r="C29" s="57">
        <v>1.4511590019665843</v>
      </c>
      <c r="D29" s="38" t="s">
        <v>156</v>
      </c>
      <c r="E29" s="19"/>
      <c r="F29" s="19"/>
    </row>
    <row r="30" spans="1:6" ht="15">
      <c r="A30" s="19" t="s">
        <v>152</v>
      </c>
      <c r="B30" s="35" t="s">
        <v>157</v>
      </c>
      <c r="C30" s="57">
        <v>1.4228872754067297</v>
      </c>
      <c r="D30" s="38" t="s">
        <v>156</v>
      </c>
      <c r="E30" s="19"/>
      <c r="F30" s="19"/>
    </row>
    <row r="31" spans="1:6" ht="15">
      <c r="A31" s="19" t="s">
        <v>152</v>
      </c>
      <c r="B31" s="35" t="s">
        <v>158</v>
      </c>
      <c r="C31" s="57">
        <v>-0.3636034564065303</v>
      </c>
      <c r="D31" s="38" t="s">
        <v>154</v>
      </c>
      <c r="E31" s="19"/>
      <c r="F31" s="19"/>
    </row>
    <row r="32" spans="1:6" ht="13">
      <c r="A32" s="19"/>
      <c r="B32" s="19" t="s">
        <v>159</v>
      </c>
      <c r="C32" s="39"/>
      <c r="D32" s="27"/>
      <c r="E32" s="19"/>
      <c r="F32" s="19"/>
    </row>
    <row r="33" spans="1:6" ht="13">
      <c r="A33" s="19" t="s">
        <v>160</v>
      </c>
      <c r="B33" s="32" t="s">
        <v>237</v>
      </c>
      <c r="C33" s="40">
        <f>(C24*C19^C28*C26^C29+C19/C5-C26/C6-C25*C19^C30*C26^C31+C15)</f>
        <v>2.1339019440347329E-8</v>
      </c>
      <c r="D33" s="40" t="s">
        <v>238</v>
      </c>
      <c r="E33" s="19"/>
      <c r="F33" s="19"/>
    </row>
    <row r="34" spans="1:6" ht="13">
      <c r="A34" s="19" t="s">
        <v>162</v>
      </c>
      <c r="B34" s="32" t="s">
        <v>239</v>
      </c>
      <c r="C34" s="40">
        <f>(C25*C20^C30*C27^C31-C24*C20^C28*C27^C29-C20/C5+C27/C6+C16)</f>
        <v>2.6533143682172522E-8</v>
      </c>
      <c r="D34" s="40" t="s">
        <v>240</v>
      </c>
      <c r="E34" s="19"/>
      <c r="F34" s="19"/>
    </row>
    <row r="35" spans="1:6" ht="13">
      <c r="A35" s="19" t="s">
        <v>164</v>
      </c>
      <c r="B35" s="32" t="s">
        <v>241</v>
      </c>
      <c r="C35" s="40">
        <f>(C28*C24*(C19^(C28-1))*C26^C29+1/C5-C30*C25*(C19^(C30-1))*C26^C31)</f>
        <v>-5.0589221700647613E-10</v>
      </c>
      <c r="D35" s="40" t="s">
        <v>242</v>
      </c>
      <c r="E35" s="19"/>
      <c r="F35" s="19"/>
    </row>
    <row r="36" spans="1:6" ht="13">
      <c r="A36" s="19" t="s">
        <v>166</v>
      </c>
      <c r="B36" s="32" t="s">
        <v>243</v>
      </c>
      <c r="C36" s="40">
        <f>(C29*C24*C19^C28*(C26^(C29-1))-1/C6-C31*C25*C19^C30*(C26^(C31-1)))</f>
        <v>5.7657834062752045E-10</v>
      </c>
      <c r="D36" s="40" t="s">
        <v>244</v>
      </c>
      <c r="E36" s="19"/>
      <c r="F36" s="19"/>
    </row>
    <row r="37" spans="1:6" ht="13">
      <c r="A37" s="19" t="s">
        <v>168</v>
      </c>
      <c r="B37" s="32" t="s">
        <v>245</v>
      </c>
      <c r="C37" s="40">
        <f>(C30*C25*(C20^(C30-1))*C27^C31-C28*C24*(C20^(C28-1))*C27^C29-1/C5)</f>
        <v>4.6157211386343988E-10</v>
      </c>
      <c r="D37" s="40" t="s">
        <v>246</v>
      </c>
      <c r="E37" s="19"/>
      <c r="F37" s="19"/>
    </row>
    <row r="38" spans="1:6" ht="13">
      <c r="A38" s="19" t="s">
        <v>170</v>
      </c>
      <c r="B38" s="32" t="s">
        <v>247</v>
      </c>
      <c r="C38" s="40">
        <f>(C31*C25*C20^C30*(C27^(C31-1))-C29*C24*C20^C28*(C27^(C29-1))+1/C6)</f>
        <v>-3.9038638988131424E-10</v>
      </c>
      <c r="D38" s="40" t="s">
        <v>248</v>
      </c>
      <c r="E38" s="19"/>
      <c r="F38" s="19"/>
    </row>
    <row r="39" spans="1:6" ht="13">
      <c r="A39" s="19" t="s">
        <v>172</v>
      </c>
      <c r="B39" s="32" t="s">
        <v>109</v>
      </c>
      <c r="C39" s="40">
        <f>0.5*C7^2*C28*(C28-1)+0.5*C8^2*C29*(C29-1)+C9*C7*C8*C28*C29+C28*(C10-C5)+C29*(C10-C6)-C10</f>
        <v>9.3093588393600157E-13</v>
      </c>
      <c r="D39" s="27"/>
      <c r="E39" s="19"/>
      <c r="F39" s="19"/>
    </row>
    <row r="40" spans="1:6" ht="13">
      <c r="A40" s="19" t="s">
        <v>174</v>
      </c>
      <c r="B40" s="32" t="s">
        <v>249</v>
      </c>
      <c r="C40" s="40">
        <f>0.5*C7^2*C30*(C30-1)+0.5*C8^2*C31*(C31-1)+C9*C7*C8*C30*C31+C30*(C10-C5)+C31*(C10-C6)-C10</f>
        <v>7.8617667931268898E-15</v>
      </c>
      <c r="D40" s="27"/>
      <c r="E40" s="19"/>
      <c r="F40" s="19"/>
    </row>
    <row r="41" spans="1:6" ht="13">
      <c r="A41" s="19"/>
      <c r="B41" s="19" t="s">
        <v>176</v>
      </c>
      <c r="C41" s="41">
        <f>SUM(ABS(C33)+ABS(C34)+ABS(C35)+ABS(C36)+ABS(C37)+ABS(C38)+ABS(C39)+ABS(C40))</f>
        <v>4.9807530981549331E-8</v>
      </c>
      <c r="D41" s="42" t="s">
        <v>12</v>
      </c>
      <c r="E41" s="19"/>
      <c r="F41" s="19"/>
    </row>
    <row r="42" spans="1:6" ht="13">
      <c r="A42" s="19"/>
      <c r="B42" s="19" t="s">
        <v>18</v>
      </c>
      <c r="C42" s="41"/>
      <c r="D42" s="42"/>
      <c r="E42" s="19"/>
      <c r="F42" s="19"/>
    </row>
    <row r="43" spans="1:6" ht="13">
      <c r="B43" s="32" t="s">
        <v>194</v>
      </c>
      <c r="C43" s="72">
        <f>C26-C27</f>
        <v>97.035670888009236</v>
      </c>
    </row>
    <row r="44" spans="1:6" ht="13">
      <c r="A44" s="32" t="s">
        <v>109</v>
      </c>
      <c r="B44" s="40" t="s">
        <v>192</v>
      </c>
    </row>
    <row r="45" spans="1:6" ht="13">
      <c r="A45" s="32" t="s">
        <v>249</v>
      </c>
      <c r="B45" s="40" t="s">
        <v>193</v>
      </c>
    </row>
    <row r="46" spans="1:6" ht="15">
      <c r="A46" s="32" t="s">
        <v>205</v>
      </c>
      <c r="B46" s="33" t="s">
        <v>250</v>
      </c>
    </row>
    <row r="47" spans="1:6" ht="15">
      <c r="A47" s="32" t="s">
        <v>206</v>
      </c>
      <c r="B47" s="3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7"/>
  <sheetViews>
    <sheetView topLeftCell="A48" workbookViewId="0">
      <selection activeCell="G65" sqref="G65"/>
    </sheetView>
  </sheetViews>
  <sheetFormatPr defaultRowHeight="12.5"/>
  <cols>
    <col min="1" max="1" width="26.7265625" bestFit="1" customWidth="1"/>
    <col min="2" max="2" width="14.453125" bestFit="1" customWidth="1"/>
  </cols>
  <sheetData>
    <row r="1" spans="1:11" ht="15">
      <c r="A1" s="18" t="s">
        <v>229</v>
      </c>
      <c r="B1" s="19"/>
      <c r="C1" s="20"/>
      <c r="D1" s="20"/>
      <c r="E1" s="20"/>
      <c r="F1" s="20"/>
      <c r="G1" s="20"/>
      <c r="H1" s="20"/>
      <c r="I1" s="19"/>
      <c r="J1" s="19"/>
      <c r="K1" s="19"/>
    </row>
    <row r="2" spans="1:11" ht="13.5">
      <c r="A2" s="19"/>
      <c r="B2" s="19" t="s">
        <v>24</v>
      </c>
      <c r="C2" s="21"/>
      <c r="D2" s="21"/>
      <c r="E2" s="21"/>
      <c r="F2" s="21"/>
      <c r="G2" s="21"/>
      <c r="H2" s="21"/>
      <c r="I2" s="19"/>
      <c r="J2" s="19" t="s">
        <v>230</v>
      </c>
      <c r="K2" s="19"/>
    </row>
    <row r="3" spans="1:11" ht="13">
      <c r="A3" s="19" t="s">
        <v>2</v>
      </c>
      <c r="B3" s="19" t="s">
        <v>17</v>
      </c>
      <c r="C3" s="45">
        <v>100</v>
      </c>
      <c r="D3" s="45">
        <v>100</v>
      </c>
      <c r="E3" s="45">
        <v>100</v>
      </c>
      <c r="F3" s="45">
        <v>100</v>
      </c>
      <c r="G3" s="45">
        <v>100</v>
      </c>
      <c r="H3" s="45">
        <v>100</v>
      </c>
      <c r="I3" s="23" t="s">
        <v>23</v>
      </c>
      <c r="J3" s="19"/>
      <c r="K3" s="19"/>
    </row>
    <row r="4" spans="1:11" ht="13">
      <c r="A4" s="19" t="s">
        <v>1</v>
      </c>
      <c r="B4" s="19" t="s">
        <v>113</v>
      </c>
      <c r="C4" s="19">
        <v>50</v>
      </c>
      <c r="D4" s="19">
        <v>50</v>
      </c>
      <c r="E4" s="19">
        <v>50</v>
      </c>
      <c r="F4" s="19">
        <v>50</v>
      </c>
      <c r="G4" s="19">
        <v>50</v>
      </c>
      <c r="H4" s="19">
        <v>50</v>
      </c>
      <c r="I4" s="23" t="s">
        <v>23</v>
      </c>
      <c r="J4" s="19"/>
      <c r="K4" s="19"/>
    </row>
    <row r="5" spans="1:11" ht="15">
      <c r="A5" s="19" t="s">
        <v>114</v>
      </c>
      <c r="B5" s="14" t="s">
        <v>115</v>
      </c>
      <c r="C5" s="14">
        <v>0.04</v>
      </c>
      <c r="D5" s="14">
        <v>0.04</v>
      </c>
      <c r="E5" s="14">
        <v>0.04</v>
      </c>
      <c r="F5" s="14">
        <v>0.04</v>
      </c>
      <c r="G5" s="14">
        <v>0.04</v>
      </c>
      <c r="H5" s="14">
        <v>0.04</v>
      </c>
      <c r="I5" s="23"/>
      <c r="J5" s="19"/>
      <c r="K5" s="19"/>
    </row>
    <row r="6" spans="1:11" ht="15">
      <c r="A6" s="19" t="s">
        <v>116</v>
      </c>
      <c r="B6" s="14" t="s">
        <v>117</v>
      </c>
      <c r="C6" s="14">
        <v>0.04</v>
      </c>
      <c r="D6" s="14">
        <v>0.04</v>
      </c>
      <c r="E6" s="14">
        <v>0.04</v>
      </c>
      <c r="F6" s="14">
        <v>0.04</v>
      </c>
      <c r="G6" s="14">
        <v>0.04</v>
      </c>
      <c r="H6" s="14">
        <v>0.04</v>
      </c>
      <c r="I6" s="24"/>
      <c r="J6" s="19"/>
      <c r="K6" s="19"/>
    </row>
    <row r="7" spans="1:11" ht="15">
      <c r="A7" s="19" t="s">
        <v>118</v>
      </c>
      <c r="B7" s="58" t="s">
        <v>252</v>
      </c>
      <c r="C7" s="59">
        <v>0.2</v>
      </c>
      <c r="D7" s="59">
        <f>C7+0.05</f>
        <v>0.25</v>
      </c>
      <c r="E7" s="59">
        <f>D7+0.05</f>
        <v>0.3</v>
      </c>
      <c r="F7" s="59">
        <f>E7+0.05</f>
        <v>0.35</v>
      </c>
      <c r="G7" s="59">
        <f>F7+0.05</f>
        <v>0.39999999999999997</v>
      </c>
      <c r="H7" s="59">
        <f>G7+0.05</f>
        <v>0.44999999999999996</v>
      </c>
      <c r="I7" s="24"/>
      <c r="J7" s="19"/>
      <c r="K7" s="19"/>
    </row>
    <row r="8" spans="1:11" ht="15">
      <c r="A8" s="19" t="s">
        <v>120</v>
      </c>
      <c r="B8" s="14" t="s">
        <v>121</v>
      </c>
      <c r="C8" s="25">
        <v>0.3</v>
      </c>
      <c r="D8" s="25">
        <v>0.3</v>
      </c>
      <c r="E8" s="25">
        <v>0.3</v>
      </c>
      <c r="F8" s="25">
        <v>0.3</v>
      </c>
      <c r="G8" s="25">
        <v>0.3</v>
      </c>
      <c r="H8" s="25">
        <v>0.3</v>
      </c>
      <c r="I8" s="24"/>
      <c r="J8" s="19"/>
      <c r="K8" s="19"/>
    </row>
    <row r="9" spans="1:11" ht="13">
      <c r="A9" s="19" t="s">
        <v>122</v>
      </c>
      <c r="B9" s="14" t="s">
        <v>123</v>
      </c>
      <c r="C9" s="25">
        <v>0.5</v>
      </c>
      <c r="D9" s="25">
        <v>0.5</v>
      </c>
      <c r="E9" s="25">
        <v>0.5</v>
      </c>
      <c r="F9" s="25">
        <v>0.5</v>
      </c>
      <c r="G9" s="25">
        <v>0.5</v>
      </c>
      <c r="H9" s="25">
        <v>0.5</v>
      </c>
      <c r="I9" s="24"/>
      <c r="J9" s="19"/>
      <c r="K9" s="19"/>
    </row>
    <row r="10" spans="1:11" ht="13">
      <c r="A10" s="19" t="s">
        <v>124</v>
      </c>
      <c r="B10" s="14" t="s">
        <v>0</v>
      </c>
      <c r="C10" s="14">
        <v>0.05</v>
      </c>
      <c r="D10" s="14">
        <v>0.05</v>
      </c>
      <c r="E10" s="14">
        <v>0.05</v>
      </c>
      <c r="F10" s="14">
        <v>0.05</v>
      </c>
      <c r="G10" s="14">
        <v>0.05</v>
      </c>
      <c r="H10" s="14">
        <v>0.05</v>
      </c>
      <c r="I10" s="24"/>
      <c r="J10" s="19"/>
      <c r="K10" s="19"/>
    </row>
    <row r="11" spans="1:11" ht="13">
      <c r="A11" s="19" t="s">
        <v>23</v>
      </c>
      <c r="B11" s="14" t="s">
        <v>23</v>
      </c>
      <c r="C11" s="49" t="s">
        <v>23</v>
      </c>
      <c r="D11" s="49" t="s">
        <v>23</v>
      </c>
      <c r="E11" s="49" t="s">
        <v>23</v>
      </c>
      <c r="F11" s="49" t="s">
        <v>23</v>
      </c>
      <c r="G11" s="49" t="s">
        <v>23</v>
      </c>
      <c r="H11" s="49" t="s">
        <v>23</v>
      </c>
      <c r="I11" s="24"/>
      <c r="J11" s="19"/>
      <c r="K11" s="19"/>
    </row>
    <row r="12" spans="1:11" ht="13">
      <c r="A12" s="19" t="s">
        <v>23</v>
      </c>
      <c r="B12" s="14" t="s">
        <v>23</v>
      </c>
      <c r="C12" s="49" t="s">
        <v>23</v>
      </c>
      <c r="D12" s="49" t="s">
        <v>23</v>
      </c>
      <c r="E12" s="49" t="s">
        <v>23</v>
      </c>
      <c r="F12" s="49" t="s">
        <v>23</v>
      </c>
      <c r="G12" s="49" t="s">
        <v>23</v>
      </c>
      <c r="H12" s="49" t="s">
        <v>23</v>
      </c>
      <c r="I12" s="24"/>
      <c r="J12" s="19"/>
      <c r="K12" s="19"/>
    </row>
    <row r="13" spans="1:11" ht="13">
      <c r="A13" s="19" t="s">
        <v>23</v>
      </c>
      <c r="B13" s="14" t="s">
        <v>23</v>
      </c>
      <c r="C13" s="24" t="s">
        <v>23</v>
      </c>
      <c r="D13" s="24" t="s">
        <v>23</v>
      </c>
      <c r="E13" s="24" t="s">
        <v>23</v>
      </c>
      <c r="F13" s="24" t="s">
        <v>23</v>
      </c>
      <c r="G13" s="24" t="s">
        <v>23</v>
      </c>
      <c r="H13" s="24" t="s">
        <v>23</v>
      </c>
      <c r="I13" s="24"/>
      <c r="J13" s="19"/>
      <c r="K13" s="19"/>
    </row>
    <row r="14" spans="1:11" ht="13">
      <c r="A14" s="19" t="s">
        <v>23</v>
      </c>
      <c r="B14" s="14" t="s">
        <v>23</v>
      </c>
      <c r="C14" s="24" t="s">
        <v>23</v>
      </c>
      <c r="D14" s="24" t="s">
        <v>23</v>
      </c>
      <c r="E14" s="24" t="s">
        <v>23</v>
      </c>
      <c r="F14" s="24" t="s">
        <v>23</v>
      </c>
      <c r="G14" s="24" t="s">
        <v>23</v>
      </c>
      <c r="H14" s="24" t="s">
        <v>23</v>
      </c>
      <c r="I14" s="24"/>
      <c r="J14" s="19"/>
      <c r="K14" s="19"/>
    </row>
    <row r="15" spans="1:11" ht="15">
      <c r="A15" s="19" t="s">
        <v>129</v>
      </c>
      <c r="B15" s="14" t="s">
        <v>130</v>
      </c>
      <c r="C15" s="24">
        <v>50</v>
      </c>
      <c r="D15" s="24">
        <v>50</v>
      </c>
      <c r="E15" s="24">
        <v>50</v>
      </c>
      <c r="F15" s="24">
        <v>50</v>
      </c>
      <c r="G15" s="24">
        <v>50</v>
      </c>
      <c r="H15" s="24">
        <v>50</v>
      </c>
      <c r="I15" s="24"/>
      <c r="J15" s="19"/>
      <c r="K15" s="19"/>
    </row>
    <row r="16" spans="1:11" ht="15">
      <c r="A16" s="19" t="s">
        <v>131</v>
      </c>
      <c r="B16" s="14" t="s">
        <v>132</v>
      </c>
      <c r="C16" s="24">
        <v>70</v>
      </c>
      <c r="D16" s="24">
        <v>70</v>
      </c>
      <c r="E16" s="24">
        <v>70</v>
      </c>
      <c r="F16" s="24">
        <v>70</v>
      </c>
      <c r="G16" s="24">
        <v>70</v>
      </c>
      <c r="H16" s="24">
        <v>70</v>
      </c>
      <c r="I16" s="24"/>
      <c r="J16" s="19"/>
      <c r="K16" s="19"/>
    </row>
    <row r="17" spans="1:11" ht="13">
      <c r="A17" s="19" t="s">
        <v>23</v>
      </c>
      <c r="B17" s="19" t="s">
        <v>23</v>
      </c>
      <c r="C17" s="27" t="s">
        <v>23</v>
      </c>
      <c r="D17" s="27" t="s">
        <v>23</v>
      </c>
      <c r="E17" s="27" t="s">
        <v>23</v>
      </c>
      <c r="F17" s="27" t="s">
        <v>23</v>
      </c>
      <c r="G17" s="27" t="s">
        <v>23</v>
      </c>
      <c r="H17" s="27" t="s">
        <v>23</v>
      </c>
      <c r="I17" s="24" t="s">
        <v>23</v>
      </c>
      <c r="J17" s="19"/>
      <c r="K17" s="19"/>
    </row>
    <row r="18" spans="1:11" ht="13">
      <c r="A18" s="19" t="s">
        <v>23</v>
      </c>
      <c r="B18" s="19" t="s">
        <v>23</v>
      </c>
      <c r="C18" s="27" t="s">
        <v>23</v>
      </c>
      <c r="D18" s="27" t="s">
        <v>23</v>
      </c>
      <c r="E18" s="27" t="s">
        <v>23</v>
      </c>
      <c r="F18" s="27" t="s">
        <v>23</v>
      </c>
      <c r="G18" s="27" t="s">
        <v>23</v>
      </c>
      <c r="H18" s="27" t="s">
        <v>23</v>
      </c>
      <c r="I18" s="24" t="s">
        <v>23</v>
      </c>
      <c r="J18" s="19"/>
      <c r="K18" s="19"/>
    </row>
    <row r="19" spans="1:11" ht="15">
      <c r="A19" s="19" t="s">
        <v>231</v>
      </c>
      <c r="B19" s="14" t="s">
        <v>139</v>
      </c>
      <c r="C19" s="28">
        <f t="shared" ref="C19:H19" si="0">C3</f>
        <v>100</v>
      </c>
      <c r="D19" s="28">
        <f t="shared" si="0"/>
        <v>100</v>
      </c>
      <c r="E19" s="28">
        <f t="shared" si="0"/>
        <v>100</v>
      </c>
      <c r="F19" s="28">
        <f t="shared" si="0"/>
        <v>100</v>
      </c>
      <c r="G19" s="28">
        <f t="shared" si="0"/>
        <v>100</v>
      </c>
      <c r="H19" s="28">
        <f t="shared" si="0"/>
        <v>100</v>
      </c>
      <c r="I19" s="24"/>
      <c r="J19" s="19"/>
      <c r="K19" s="19"/>
    </row>
    <row r="20" spans="1:11" ht="15">
      <c r="A20" s="19" t="s">
        <v>232</v>
      </c>
      <c r="B20" s="14" t="s">
        <v>141</v>
      </c>
      <c r="C20" s="28">
        <f t="shared" ref="C20:H20" si="1">C3</f>
        <v>100</v>
      </c>
      <c r="D20" s="28">
        <f t="shared" si="1"/>
        <v>100</v>
      </c>
      <c r="E20" s="28">
        <f t="shared" si="1"/>
        <v>100</v>
      </c>
      <c r="F20" s="28">
        <f t="shared" si="1"/>
        <v>100</v>
      </c>
      <c r="G20" s="28">
        <f t="shared" si="1"/>
        <v>100</v>
      </c>
      <c r="H20" s="28">
        <f t="shared" si="1"/>
        <v>100</v>
      </c>
      <c r="I20" s="24"/>
      <c r="J20" s="19"/>
      <c r="K20" s="19"/>
    </row>
    <row r="21" spans="1:11" ht="13">
      <c r="A21" s="19"/>
      <c r="B21" s="19" t="s">
        <v>142</v>
      </c>
      <c r="C21" s="19"/>
      <c r="D21" s="19"/>
      <c r="E21" s="19"/>
      <c r="F21" s="19"/>
      <c r="G21" s="19"/>
      <c r="H21" s="19"/>
      <c r="I21" s="19" t="s">
        <v>23</v>
      </c>
      <c r="J21" s="19" t="s">
        <v>234</v>
      </c>
      <c r="K21" s="19"/>
    </row>
    <row r="22" spans="1:11" ht="15">
      <c r="A22" s="19" t="s">
        <v>235</v>
      </c>
      <c r="B22" s="32" t="s">
        <v>205</v>
      </c>
      <c r="C22" s="33">
        <f t="shared" ref="C22:H22" si="2">(C24*C3^C28*C4^C29+C3/C5-C4/C6)</f>
        <v>1561.256507650497</v>
      </c>
      <c r="D22" s="33">
        <f t="shared" si="2"/>
        <v>1584.9158081538708</v>
      </c>
      <c r="E22" s="33">
        <f t="shared" si="2"/>
        <v>1621.3253773670776</v>
      </c>
      <c r="F22" s="33">
        <f t="shared" si="2"/>
        <v>1666.9849632337482</v>
      </c>
      <c r="G22" s="33">
        <f t="shared" si="2"/>
        <v>1718.2657420447299</v>
      </c>
      <c r="H22" s="33">
        <f t="shared" si="2"/>
        <v>1771.9811703104833</v>
      </c>
      <c r="I22" s="33" t="s">
        <v>23</v>
      </c>
      <c r="J22" s="33">
        <f>(C3/C5-C4/C6)</f>
        <v>1250</v>
      </c>
      <c r="K22" s="19" t="s">
        <v>234</v>
      </c>
    </row>
    <row r="23" spans="1:11" ht="15">
      <c r="A23" s="19" t="s">
        <v>236</v>
      </c>
      <c r="B23" s="32" t="s">
        <v>206</v>
      </c>
      <c r="C23" s="33">
        <f t="shared" ref="C23:H23" si="3">(C25*C3^C30*C4^C31)</f>
        <v>1524.887035459931</v>
      </c>
      <c r="D23" s="33">
        <f t="shared" si="3"/>
        <v>1537.1859293434161</v>
      </c>
      <c r="E23" s="33">
        <f t="shared" si="3"/>
        <v>1563.1853621768337</v>
      </c>
      <c r="F23" s="33">
        <f t="shared" si="3"/>
        <v>1601.6192836739663</v>
      </c>
      <c r="G23" s="33">
        <f t="shared" si="3"/>
        <v>1649.1587623818425</v>
      </c>
      <c r="H23" s="33">
        <f t="shared" si="3"/>
        <v>1702.0013956782354</v>
      </c>
      <c r="I23" s="33" t="s">
        <v>23</v>
      </c>
      <c r="J23" s="33"/>
      <c r="K23" s="19" t="s">
        <v>253</v>
      </c>
    </row>
    <row r="24" spans="1:11" ht="13">
      <c r="A24" s="19"/>
      <c r="B24" s="32" t="s">
        <v>27</v>
      </c>
      <c r="C24" s="54">
        <v>7.7156966919684038</v>
      </c>
      <c r="D24" s="54">
        <v>8.0885305942243146</v>
      </c>
      <c r="E24" s="54">
        <v>8.6629346232044337</v>
      </c>
      <c r="F24" s="54">
        <v>9.3770360592542907</v>
      </c>
      <c r="G24" s="54">
        <v>10.170394199213698</v>
      </c>
      <c r="H24" s="54">
        <v>10.992757861935086</v>
      </c>
      <c r="I24" s="34"/>
      <c r="J24" s="19"/>
      <c r="K24" s="19"/>
    </row>
    <row r="25" spans="1:11" ht="13">
      <c r="A25" s="19"/>
      <c r="B25" s="32" t="s">
        <v>148</v>
      </c>
      <c r="C25" s="54">
        <v>6.8763144764881954</v>
      </c>
      <c r="D25" s="54">
        <v>7.354348634904265</v>
      </c>
      <c r="E25" s="54">
        <v>8.0388657846008993</v>
      </c>
      <c r="F25" s="54">
        <v>8.8604185784926575</v>
      </c>
      <c r="G25" s="54">
        <v>9.755269723805128</v>
      </c>
      <c r="H25" s="54">
        <v>10.672886008779129</v>
      </c>
      <c r="I25" s="34"/>
      <c r="J25" s="19"/>
      <c r="K25" s="19"/>
    </row>
    <row r="26" spans="1:11" ht="15">
      <c r="A26" s="19" t="s">
        <v>231</v>
      </c>
      <c r="B26" s="35" t="s">
        <v>150</v>
      </c>
      <c r="C26" s="60">
        <v>150.68752557070565</v>
      </c>
      <c r="D26" s="60">
        <v>149.95501570136264</v>
      </c>
      <c r="E26" s="60">
        <v>149.723960569773</v>
      </c>
      <c r="F26" s="60">
        <v>149.86094090533024</v>
      </c>
      <c r="G26" s="60">
        <v>150.21332482666492</v>
      </c>
      <c r="H26" s="60">
        <v>150.63945361872669</v>
      </c>
      <c r="I26" s="23"/>
      <c r="J26" s="19"/>
      <c r="K26" s="19"/>
    </row>
    <row r="27" spans="1:11" ht="15">
      <c r="A27" s="19" t="s">
        <v>232</v>
      </c>
      <c r="B27" s="35" t="s">
        <v>151</v>
      </c>
      <c r="C27" s="60">
        <v>65.915954627342614</v>
      </c>
      <c r="D27" s="60">
        <v>63.442574538796713</v>
      </c>
      <c r="E27" s="60">
        <v>60.323043388991188</v>
      </c>
      <c r="F27" s="60">
        <v>56.832333429345212</v>
      </c>
      <c r="G27" s="60">
        <v>53.177653937499912</v>
      </c>
      <c r="H27" s="60">
        <v>49.49462697087408</v>
      </c>
      <c r="I27" s="23"/>
      <c r="J27" s="19"/>
      <c r="K27" s="19"/>
    </row>
    <row r="28" spans="1:11" ht="15">
      <c r="A28" s="19" t="s">
        <v>152</v>
      </c>
      <c r="B28" s="35" t="s">
        <v>153</v>
      </c>
      <c r="C28" s="57">
        <v>-0.61636091834787432</v>
      </c>
      <c r="D28" s="57">
        <v>-0.57700780854461042</v>
      </c>
      <c r="E28" s="57">
        <v>-0.52155511722474657</v>
      </c>
      <c r="F28" s="57">
        <v>-0.46049234542688067</v>
      </c>
      <c r="G28" s="57">
        <v>-0.401160507911967</v>
      </c>
      <c r="H28" s="57">
        <v>-0.34736835639231334</v>
      </c>
      <c r="I28" s="38" t="s">
        <v>154</v>
      </c>
      <c r="J28" s="19"/>
      <c r="K28" s="19"/>
    </row>
    <row r="29" spans="1:11" ht="15">
      <c r="A29" s="19" t="s">
        <v>152</v>
      </c>
      <c r="B29" s="35" t="s">
        <v>155</v>
      </c>
      <c r="C29" s="57">
        <v>1.6706976125373192</v>
      </c>
      <c r="D29" s="57">
        <v>1.631036230415478</v>
      </c>
      <c r="E29" s="57">
        <v>1.5746009769426761</v>
      </c>
      <c r="F29" s="57">
        <v>1.5121158657949076</v>
      </c>
      <c r="G29" s="57">
        <v>1.4511590019560254</v>
      </c>
      <c r="H29" s="57">
        <v>1.3957191013655612</v>
      </c>
      <c r="I29" s="38" t="s">
        <v>156</v>
      </c>
      <c r="J29" s="19"/>
      <c r="K29" s="19"/>
    </row>
    <row r="30" spans="1:11" ht="15">
      <c r="A30" s="19" t="s">
        <v>152</v>
      </c>
      <c r="B30" s="35" t="s">
        <v>157</v>
      </c>
      <c r="C30" s="57">
        <v>1.7206772543824838</v>
      </c>
      <c r="D30" s="57">
        <v>1.6557406472339677</v>
      </c>
      <c r="E30" s="57">
        <v>1.5762505867928527</v>
      </c>
      <c r="F30" s="57">
        <v>1.496050870178568</v>
      </c>
      <c r="G30" s="57">
        <v>1.4228872754067396</v>
      </c>
      <c r="H30" s="57">
        <v>1.3596195696618014</v>
      </c>
      <c r="I30" s="38" t="s">
        <v>156</v>
      </c>
      <c r="J30" s="19"/>
      <c r="K30" s="19"/>
    </row>
    <row r="31" spans="1:11" ht="15">
      <c r="A31" s="19" t="s">
        <v>152</v>
      </c>
      <c r="B31" s="35" t="s">
        <v>158</v>
      </c>
      <c r="C31" s="57">
        <v>-0.64478629056053427</v>
      </c>
      <c r="D31" s="57">
        <v>-0.58347063533696142</v>
      </c>
      <c r="E31" s="57">
        <v>-0.50835828153991014</v>
      </c>
      <c r="F31" s="57">
        <v>-0.43261310582744289</v>
      </c>
      <c r="G31" s="57">
        <v>-0.36360345640705249</v>
      </c>
      <c r="H31" s="57">
        <v>-0.30404368359437833</v>
      </c>
      <c r="I31" s="38" t="s">
        <v>154</v>
      </c>
      <c r="J31" s="19"/>
      <c r="K31" s="19"/>
    </row>
    <row r="32" spans="1:11" ht="13">
      <c r="A32" s="19"/>
      <c r="B32" s="19" t="s">
        <v>159</v>
      </c>
      <c r="C32" s="39"/>
      <c r="D32" s="39"/>
      <c r="E32" s="39"/>
      <c r="F32" s="39"/>
      <c r="G32" s="39"/>
      <c r="H32" s="39"/>
      <c r="I32" s="27"/>
      <c r="J32" s="19"/>
      <c r="K32" s="19"/>
    </row>
    <row r="33" spans="1:11" ht="13">
      <c r="A33" s="19" t="s">
        <v>160</v>
      </c>
      <c r="B33" s="32" t="s">
        <v>161</v>
      </c>
      <c r="C33" s="40">
        <f t="shared" ref="C33:H33" si="4">(C24*C19^C28*C26^C29+C19/C5-C26/C6-C25*C19^C30*C26^C31+C15)</f>
        <v>4.4766352402803022E-8</v>
      </c>
      <c r="D33" s="40">
        <f t="shared" si="4"/>
        <v>-1.1368683772161603E-12</v>
      </c>
      <c r="E33" s="40">
        <f t="shared" si="4"/>
        <v>-1.2505552149377763E-12</v>
      </c>
      <c r="F33" s="40">
        <f t="shared" si="4"/>
        <v>4.0927261579781771E-12</v>
      </c>
      <c r="G33" s="40">
        <f t="shared" si="4"/>
        <v>-1.1368683772161603E-12</v>
      </c>
      <c r="H33" s="40">
        <f t="shared" si="4"/>
        <v>2.7284841053187847E-12</v>
      </c>
      <c r="I33" s="40" t="s">
        <v>238</v>
      </c>
      <c r="J33" s="19"/>
      <c r="K33" s="19"/>
    </row>
    <row r="34" spans="1:11" ht="13">
      <c r="A34" s="19" t="s">
        <v>162</v>
      </c>
      <c r="B34" s="32" t="s">
        <v>163</v>
      </c>
      <c r="C34" s="40">
        <f t="shared" ref="C34:H34" si="5">(C25*C20^C30*C27^C31-C24*C20^C28*C27^C29-C20/C5+C27/C6+C16)</f>
        <v>-7.9801793617662042E-8</v>
      </c>
      <c r="D34" s="40">
        <f t="shared" si="5"/>
        <v>0</v>
      </c>
      <c r="E34" s="40">
        <f t="shared" si="5"/>
        <v>-1.5916157281026244E-12</v>
      </c>
      <c r="F34" s="40">
        <f t="shared" si="5"/>
        <v>0</v>
      </c>
      <c r="G34" s="40">
        <f t="shared" si="5"/>
        <v>-2.2737367544323206E-13</v>
      </c>
      <c r="H34" s="40">
        <f t="shared" si="5"/>
        <v>-2.2737367544323206E-13</v>
      </c>
      <c r="I34" s="40" t="s">
        <v>240</v>
      </c>
      <c r="J34" s="19"/>
      <c r="K34" s="19"/>
    </row>
    <row r="35" spans="1:11" ht="13">
      <c r="A35" s="19" t="s">
        <v>164</v>
      </c>
      <c r="B35" s="32" t="s">
        <v>165</v>
      </c>
      <c r="C35" s="40">
        <f t="shared" ref="C35:H35" si="6">(C28*C24*(C19^(C28-1))*C26^C29+1/C5-C30*C25*(C19^(C30-1))*C26^C31)</f>
        <v>3.5394620567785751E-10</v>
      </c>
      <c r="D35" s="40">
        <f t="shared" si="6"/>
        <v>0</v>
      </c>
      <c r="E35" s="40">
        <f t="shared" si="6"/>
        <v>1.0658141036401503E-14</v>
      </c>
      <c r="F35" s="40">
        <f t="shared" si="6"/>
        <v>3.5527136788005009E-15</v>
      </c>
      <c r="G35" s="40">
        <f t="shared" si="6"/>
        <v>1.4210854715202004E-14</v>
      </c>
      <c r="H35" s="40">
        <f t="shared" si="6"/>
        <v>-7.1054273576010019E-15</v>
      </c>
      <c r="I35" s="40" t="s">
        <v>242</v>
      </c>
      <c r="J35" s="19"/>
      <c r="K35" s="19"/>
    </row>
    <row r="36" spans="1:11" ht="13">
      <c r="A36" s="19" t="s">
        <v>166</v>
      </c>
      <c r="B36" s="32" t="s">
        <v>167</v>
      </c>
      <c r="C36" s="40">
        <f t="shared" ref="C36:H36" si="7">(C29*C24*C19^C28*(C26^(C29-1))-1/C6-C31*C25*C19^C30*(C26^(C31-1)))</f>
        <v>-3.8600811436140248E-10</v>
      </c>
      <c r="D36" s="40">
        <f t="shared" si="7"/>
        <v>-2.2204460492503131E-15</v>
      </c>
      <c r="E36" s="40">
        <f t="shared" si="7"/>
        <v>-1.3322676295501878E-15</v>
      </c>
      <c r="F36" s="40">
        <f t="shared" si="7"/>
        <v>1.865174681370263E-14</v>
      </c>
      <c r="G36" s="40">
        <f t="shared" si="7"/>
        <v>1.3322676295501878E-15</v>
      </c>
      <c r="H36" s="40">
        <f t="shared" si="7"/>
        <v>1.8207657603852567E-14</v>
      </c>
      <c r="I36" s="40" t="s">
        <v>244</v>
      </c>
      <c r="J36" s="19"/>
      <c r="K36" s="19"/>
    </row>
    <row r="37" spans="1:11" ht="13">
      <c r="A37" s="19" t="s">
        <v>168</v>
      </c>
      <c r="B37" s="32" t="s">
        <v>169</v>
      </c>
      <c r="C37" s="40">
        <f t="shared" ref="C37:H37" si="8">(C30*C25*(C20^(C30-1))*C27^C31-C28*C24*(C20^(C28-1))*C27^C29-1/C5)</f>
        <v>-1.5972005940056988E-9</v>
      </c>
      <c r="D37" s="40">
        <f t="shared" si="8"/>
        <v>7.1054273576010019E-15</v>
      </c>
      <c r="E37" s="40">
        <f t="shared" si="8"/>
        <v>-7.1054273576010019E-15</v>
      </c>
      <c r="F37" s="40">
        <f t="shared" si="8"/>
        <v>-3.5527136788005009E-15</v>
      </c>
      <c r="G37" s="40">
        <f t="shared" si="8"/>
        <v>-7.1054273576010019E-15</v>
      </c>
      <c r="H37" s="40">
        <f t="shared" si="8"/>
        <v>0</v>
      </c>
      <c r="I37" s="40" t="s">
        <v>246</v>
      </c>
      <c r="J37" s="19"/>
      <c r="K37" s="19"/>
    </row>
    <row r="38" spans="1:11" ht="13">
      <c r="A38" s="19" t="s">
        <v>170</v>
      </c>
      <c r="B38" s="32" t="s">
        <v>171</v>
      </c>
      <c r="C38" s="40">
        <f t="shared" ref="C38:H38" si="9">(C31*C25*C20^C30*(C27^(C31-1))-C29*C24*C20^C28*(C27^(C29-1))+1/C6)</f>
        <v>2.252306785521796E-9</v>
      </c>
      <c r="D38" s="40">
        <f t="shared" si="9"/>
        <v>7.1054273576010019E-15</v>
      </c>
      <c r="E38" s="40">
        <f t="shared" si="9"/>
        <v>7.1054273576010019E-15</v>
      </c>
      <c r="F38" s="40">
        <f t="shared" si="9"/>
        <v>-2.1316282072803006E-14</v>
      </c>
      <c r="G38" s="40">
        <f t="shared" si="9"/>
        <v>-7.1054273576010019E-15</v>
      </c>
      <c r="H38" s="40">
        <f t="shared" si="9"/>
        <v>-7.1054273576010019E-15</v>
      </c>
      <c r="I38" s="40" t="s">
        <v>248</v>
      </c>
      <c r="J38" s="19"/>
      <c r="K38" s="19"/>
    </row>
    <row r="39" spans="1:11" ht="13">
      <c r="A39" s="19" t="s">
        <v>172</v>
      </c>
      <c r="B39" s="32" t="s">
        <v>173</v>
      </c>
      <c r="C39" s="40">
        <f t="shared" ref="C39:H39" si="10">0.5*C7^2*C28*(C28-1)+0.5*C8^2*C29*(C29-1)+C9*C7*C8*C28*C29+C28*(C10-C5)+C29*(C10-C6)-C10</f>
        <v>-1.4239304180208023E-13</v>
      </c>
      <c r="D39" s="40">
        <f t="shared" si="10"/>
        <v>0</v>
      </c>
      <c r="E39" s="40">
        <f t="shared" si="10"/>
        <v>0</v>
      </c>
      <c r="F39" s="40">
        <f t="shared" si="10"/>
        <v>0</v>
      </c>
      <c r="G39" s="40">
        <f t="shared" si="10"/>
        <v>0</v>
      </c>
      <c r="H39" s="40">
        <f t="shared" si="10"/>
        <v>0</v>
      </c>
      <c r="I39" s="27"/>
      <c r="J39" s="19"/>
      <c r="K39" s="19"/>
    </row>
    <row r="40" spans="1:11" ht="13">
      <c r="A40" s="19" t="s">
        <v>174</v>
      </c>
      <c r="B40" s="32" t="s">
        <v>175</v>
      </c>
      <c r="C40" s="40">
        <f t="shared" ref="C40:H40" si="11">0.5*C7^2*C30*(C30-1)+0.5*C8^2*C31*(C31-1)+C9*C7*C8*C30*C31+C30*(C10-C5)+C31*(C10-C6)-C10</f>
        <v>-1.0966227925734984E-13</v>
      </c>
      <c r="D40" s="40">
        <f t="shared" si="11"/>
        <v>0</v>
      </c>
      <c r="E40" s="40">
        <f t="shared" si="11"/>
        <v>0</v>
      </c>
      <c r="F40" s="40">
        <f t="shared" si="11"/>
        <v>0</v>
      </c>
      <c r="G40" s="40">
        <f t="shared" si="11"/>
        <v>0</v>
      </c>
      <c r="H40" s="40">
        <f t="shared" si="11"/>
        <v>0</v>
      </c>
      <c r="I40" s="27"/>
      <c r="J40" s="19"/>
      <c r="K40" s="19"/>
    </row>
    <row r="41" spans="1:11" ht="13">
      <c r="A41" s="19"/>
      <c r="B41" s="19" t="s">
        <v>176</v>
      </c>
      <c r="C41" s="61">
        <f t="shared" ref="C41:H41" si="12">SUM(ABS(C33)+ABS(C34)+ABS(C35)+ABS(C36)+ABS(C37)+ABS(C38)+ABS(C39)+ABS(C40))</f>
        <v>1.2915785977535288E-7</v>
      </c>
      <c r="D41" s="61">
        <f t="shared" si="12"/>
        <v>1.1532996779806126E-12</v>
      </c>
      <c r="E41" s="61">
        <f t="shared" si="12"/>
        <v>2.8683722064215544E-12</v>
      </c>
      <c r="F41" s="61">
        <f t="shared" si="12"/>
        <v>4.1397996142222837E-12</v>
      </c>
      <c r="G41" s="61">
        <f t="shared" si="12"/>
        <v>1.3939960297193466E-12</v>
      </c>
      <c r="H41" s="61">
        <f t="shared" si="12"/>
        <v>2.9882762930810713E-12</v>
      </c>
      <c r="I41" s="51">
        <f t="array" ref="I41">SUM(ABS(C41:H41))</f>
        <v>1.291704035191743E-7</v>
      </c>
      <c r="J41" s="19"/>
      <c r="K41" s="19"/>
    </row>
    <row r="42" spans="1:11" ht="13">
      <c r="B42" s="32" t="s">
        <v>254</v>
      </c>
    </row>
    <row r="43" spans="1:11" ht="13">
      <c r="A43" s="32" t="s">
        <v>173</v>
      </c>
      <c r="B43" s="40" t="s">
        <v>192</v>
      </c>
    </row>
    <row r="44" spans="1:11" ht="13">
      <c r="A44" s="32" t="s">
        <v>175</v>
      </c>
      <c r="B44" s="40" t="s">
        <v>193</v>
      </c>
    </row>
    <row r="45" spans="1:11" ht="15">
      <c r="B45" s="32" t="s">
        <v>207</v>
      </c>
      <c r="C45" s="10">
        <f t="shared" ref="C45:H45" si="13">C26-C27</f>
        <v>84.771570943363031</v>
      </c>
      <c r="D45" s="10">
        <f t="shared" si="13"/>
        <v>86.512441162565921</v>
      </c>
      <c r="E45" s="10">
        <f t="shared" si="13"/>
        <v>89.400917180781818</v>
      </c>
      <c r="F45" s="10">
        <f t="shared" si="13"/>
        <v>93.028607475985027</v>
      </c>
      <c r="G45" s="10">
        <f t="shared" si="13"/>
        <v>97.035670889165004</v>
      </c>
      <c r="H45" s="10">
        <f t="shared" si="13"/>
        <v>101.14482664785261</v>
      </c>
    </row>
    <row r="46" spans="1:11" ht="15">
      <c r="A46" s="32" t="s">
        <v>205</v>
      </c>
      <c r="B46" s="33" t="s">
        <v>255</v>
      </c>
    </row>
    <row r="47" spans="1:11" ht="15">
      <c r="A47" s="32" t="s">
        <v>206</v>
      </c>
      <c r="B47" s="33" t="s">
        <v>256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1"/>
  <sheetViews>
    <sheetView topLeftCell="A8" workbookViewId="0">
      <selection activeCell="C14" sqref="C14"/>
    </sheetView>
  </sheetViews>
  <sheetFormatPr defaultRowHeight="12.5"/>
  <cols>
    <col min="1" max="1" width="26.7265625" bestFit="1" customWidth="1"/>
  </cols>
  <sheetData>
    <row r="1" spans="1:6" ht="15">
      <c r="A1" s="18" t="s">
        <v>257</v>
      </c>
      <c r="B1" s="19"/>
      <c r="C1" s="20"/>
      <c r="D1" s="19"/>
      <c r="E1" s="19"/>
      <c r="F1" s="19"/>
    </row>
    <row r="2" spans="1:6" ht="13.5">
      <c r="A2" s="19"/>
      <c r="B2" s="19" t="s">
        <v>24</v>
      </c>
      <c r="C2" s="21"/>
      <c r="D2" s="19"/>
      <c r="E2" s="19" t="s">
        <v>23</v>
      </c>
      <c r="F2" s="19"/>
    </row>
    <row r="3" spans="1:6" ht="13">
      <c r="A3" s="19" t="s">
        <v>2</v>
      </c>
      <c r="B3" s="19" t="s">
        <v>17</v>
      </c>
      <c r="C3" s="22">
        <v>100</v>
      </c>
      <c r="D3" s="23" t="s">
        <v>23</v>
      </c>
      <c r="E3" s="19"/>
      <c r="F3" s="19"/>
    </row>
    <row r="4" spans="1:6" ht="13">
      <c r="A4" s="19" t="s">
        <v>1</v>
      </c>
      <c r="B4" s="19" t="s">
        <v>113</v>
      </c>
      <c r="C4" s="19">
        <v>50</v>
      </c>
      <c r="D4" s="23" t="s">
        <v>23</v>
      </c>
      <c r="E4" s="19"/>
      <c r="F4" s="19"/>
    </row>
    <row r="5" spans="1:6" ht="15">
      <c r="A5" s="19" t="s">
        <v>114</v>
      </c>
      <c r="B5" s="14" t="s">
        <v>115</v>
      </c>
      <c r="C5" s="14">
        <v>0.04</v>
      </c>
      <c r="D5" s="23"/>
      <c r="E5" s="19"/>
      <c r="F5" s="19"/>
    </row>
    <row r="6" spans="1:6" ht="15">
      <c r="A6" s="19" t="s">
        <v>116</v>
      </c>
      <c r="B6" s="14" t="s">
        <v>117</v>
      </c>
      <c r="C6" s="14">
        <v>0.04</v>
      </c>
      <c r="D6" s="24"/>
      <c r="E6" s="19"/>
      <c r="F6" s="19"/>
    </row>
    <row r="7" spans="1:6" ht="15">
      <c r="A7" s="19" t="s">
        <v>118</v>
      </c>
      <c r="B7" s="14" t="s">
        <v>119</v>
      </c>
      <c r="C7" s="25">
        <v>0.4</v>
      </c>
      <c r="D7" s="24"/>
      <c r="E7" s="19"/>
      <c r="F7" s="19"/>
    </row>
    <row r="8" spans="1:6" ht="15">
      <c r="A8" s="19" t="s">
        <v>120</v>
      </c>
      <c r="B8" s="14" t="s">
        <v>121</v>
      </c>
      <c r="C8" s="25">
        <v>0.3</v>
      </c>
      <c r="D8" s="24"/>
      <c r="E8" s="19"/>
      <c r="F8" s="19"/>
    </row>
    <row r="9" spans="1:6" ht="13">
      <c r="A9" s="19" t="s">
        <v>122</v>
      </c>
      <c r="B9" s="14" t="s">
        <v>123</v>
      </c>
      <c r="C9" s="25">
        <v>0.5</v>
      </c>
      <c r="D9" s="24"/>
      <c r="E9" s="19"/>
      <c r="F9" s="19"/>
    </row>
    <row r="10" spans="1:6" ht="13">
      <c r="A10" s="19" t="s">
        <v>124</v>
      </c>
      <c r="B10" s="14" t="s">
        <v>0</v>
      </c>
      <c r="C10" s="14">
        <v>0.05</v>
      </c>
      <c r="D10" s="24"/>
      <c r="E10" s="19"/>
      <c r="F10" s="19"/>
    </row>
    <row r="11" spans="1:6" ht="15">
      <c r="A11" s="19" t="s">
        <v>129</v>
      </c>
      <c r="B11" s="14" t="s">
        <v>130</v>
      </c>
      <c r="C11" s="24">
        <v>50</v>
      </c>
      <c r="D11" s="24"/>
      <c r="E11" s="19"/>
      <c r="F11" s="19"/>
    </row>
    <row r="12" spans="1:6" ht="15">
      <c r="A12" s="19" t="s">
        <v>231</v>
      </c>
      <c r="B12" s="14" t="s">
        <v>139</v>
      </c>
      <c r="C12" s="28">
        <f>C3</f>
        <v>100</v>
      </c>
      <c r="D12" s="24"/>
      <c r="E12" s="19"/>
      <c r="F12" s="19"/>
    </row>
    <row r="13" spans="1:6" ht="13">
      <c r="A13" s="19"/>
      <c r="B13" s="19" t="s">
        <v>142</v>
      </c>
      <c r="C13" s="19"/>
      <c r="D13" s="19" t="s">
        <v>233</v>
      </c>
      <c r="E13" s="19" t="s">
        <v>234</v>
      </c>
      <c r="F13" s="19"/>
    </row>
    <row r="14" spans="1:6" ht="15">
      <c r="A14" s="19" t="s">
        <v>235</v>
      </c>
      <c r="B14" s="29" t="s">
        <v>145</v>
      </c>
      <c r="C14" s="55">
        <f>(C15*C3^C17*C4^C18+C3/C5-C4/C6)</f>
        <v>1630.8384967733155</v>
      </c>
      <c r="D14" s="55">
        <f>(C15*C3^C17*C4^C18)</f>
        <v>380.83849677331563</v>
      </c>
      <c r="E14" s="55">
        <f>C3/C5-C4/C6</f>
        <v>1250</v>
      </c>
      <c r="F14" s="19" t="s">
        <v>23</v>
      </c>
    </row>
    <row r="15" spans="1:6" ht="13">
      <c r="A15" s="19"/>
      <c r="B15" s="32" t="s">
        <v>27</v>
      </c>
      <c r="C15" s="54">
        <v>9.8943751169548797</v>
      </c>
      <c r="D15" s="34"/>
      <c r="E15" s="19"/>
      <c r="F15" s="19"/>
    </row>
    <row r="16" spans="1:6" ht="15">
      <c r="A16" s="19" t="s">
        <v>231</v>
      </c>
      <c r="B16" s="35" t="s">
        <v>150</v>
      </c>
      <c r="C16" s="56">
        <v>337.04347206128</v>
      </c>
      <c r="D16" s="23"/>
      <c r="E16" s="19"/>
      <c r="F16" s="19"/>
    </row>
    <row r="17" spans="1:6" ht="15">
      <c r="A17" s="19" t="s">
        <v>152</v>
      </c>
      <c r="B17" s="35" t="s">
        <v>153</v>
      </c>
      <c r="C17" s="57">
        <v>-0.42545321137122605</v>
      </c>
      <c r="D17" s="38" t="s">
        <v>154</v>
      </c>
      <c r="E17" s="19"/>
      <c r="F17" s="19"/>
    </row>
    <row r="18" spans="1:6" ht="15">
      <c r="A18" s="19" t="s">
        <v>152</v>
      </c>
      <c r="B18" s="35" t="s">
        <v>155</v>
      </c>
      <c r="C18" s="57">
        <v>1.4339622756218222</v>
      </c>
      <c r="D18" s="38" t="s">
        <v>156</v>
      </c>
      <c r="E18" s="19"/>
      <c r="F18" s="19"/>
    </row>
    <row r="19" spans="1:6" ht="13">
      <c r="A19" s="19"/>
      <c r="B19" s="19" t="s">
        <v>159</v>
      </c>
      <c r="C19" s="39"/>
      <c r="D19" s="27"/>
      <c r="E19" s="19"/>
      <c r="F19" s="19"/>
    </row>
    <row r="20" spans="1:6" ht="13">
      <c r="A20" s="19" t="s">
        <v>160</v>
      </c>
      <c r="B20" s="32" t="s">
        <v>258</v>
      </c>
      <c r="C20" s="40">
        <f>(C15*C12^C17*C16^C18+C12/C5-C16/C6+C11)</f>
        <v>3.101049514953047E-7</v>
      </c>
      <c r="D20" s="40" t="s">
        <v>23</v>
      </c>
      <c r="E20" s="19"/>
      <c r="F20" s="19"/>
    </row>
    <row r="21" spans="1:6" ht="13">
      <c r="A21" s="19" t="s">
        <v>164</v>
      </c>
      <c r="B21" s="32" t="s">
        <v>259</v>
      </c>
      <c r="C21" s="40">
        <f>(C17*C15*(C12^(C17-1))*C16^C18+1/C5)</f>
        <v>-1.3980070434627123E-9</v>
      </c>
      <c r="D21" s="40" t="s">
        <v>23</v>
      </c>
      <c r="E21" s="19"/>
      <c r="F21" s="19"/>
    </row>
    <row r="22" spans="1:6" ht="13">
      <c r="A22" s="19" t="s">
        <v>166</v>
      </c>
      <c r="B22" s="32" t="s">
        <v>260</v>
      </c>
      <c r="C22" s="40">
        <f>(C18*C15*C12^C17*(C16^(C18-1))-1/C6)</f>
        <v>1.7471144531100435E-9</v>
      </c>
      <c r="D22" s="40" t="s">
        <v>23</v>
      </c>
      <c r="E22" s="19"/>
      <c r="F22" s="19"/>
    </row>
    <row r="23" spans="1:6" ht="13">
      <c r="A23" s="19" t="s">
        <v>172</v>
      </c>
      <c r="B23" s="32" t="s">
        <v>261</v>
      </c>
      <c r="C23" s="40">
        <f>0.5*C7^2*C17*(C17-1)+0.5*C8^2*C18*(C18-1)+C9*C7*C8*C17*C18+C17*(C10-C5)+C18*(C10-C6)-C10</f>
        <v>1.3926221287263729E-12</v>
      </c>
      <c r="D23" s="27"/>
      <c r="E23" s="19"/>
      <c r="F23" s="19"/>
    </row>
    <row r="24" spans="1:6" ht="13">
      <c r="A24" s="19"/>
      <c r="B24" s="19" t="s">
        <v>176</v>
      </c>
      <c r="C24" s="41">
        <f t="array" ref="C24">SUM(ABS(C20:C23))</f>
        <v>3.1325146561400619E-7</v>
      </c>
      <c r="D24" s="42" t="s">
        <v>12</v>
      </c>
      <c r="E24" s="19"/>
      <c r="F24" s="19"/>
    </row>
    <row r="25" spans="1:6" ht="13">
      <c r="A25" s="19"/>
      <c r="B25" s="19" t="s">
        <v>262</v>
      </c>
      <c r="C25" s="41"/>
      <c r="D25" s="42"/>
      <c r="E25" s="19"/>
      <c r="F25" s="19"/>
    </row>
    <row r="26" spans="1:6" ht="13">
      <c r="A26" s="32" t="s">
        <v>194</v>
      </c>
      <c r="C26" s="72">
        <f>C16-C4</f>
        <v>287.04347206128</v>
      </c>
    </row>
    <row r="27" spans="1:6" ht="15">
      <c r="A27" s="32" t="s">
        <v>205</v>
      </c>
      <c r="B27" s="33" t="s">
        <v>263</v>
      </c>
    </row>
    <row r="28" spans="1:6" ht="13">
      <c r="A28" t="str">
        <f>B20</f>
        <v>EQ 35</v>
      </c>
      <c r="B28" s="40" t="s">
        <v>264</v>
      </c>
    </row>
    <row r="29" spans="1:6" ht="13">
      <c r="A29" t="str">
        <f>B21</f>
        <v>EQ 36</v>
      </c>
      <c r="B29" s="40" t="s">
        <v>265</v>
      </c>
    </row>
    <row r="30" spans="1:6" ht="13">
      <c r="A30" t="str">
        <f>B22</f>
        <v>EQ 37</v>
      </c>
      <c r="B30" s="40" t="s">
        <v>266</v>
      </c>
    </row>
    <row r="31" spans="1:6">
      <c r="A31" t="str">
        <f>B23</f>
        <v>EQ 38</v>
      </c>
      <c r="B31" s="53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workbookViewId="0">
      <selection sqref="A1:I53"/>
    </sheetView>
  </sheetViews>
  <sheetFormatPr defaultRowHeight="12.5"/>
  <cols>
    <col min="1" max="1" width="26.7265625" bestFit="1" customWidth="1"/>
    <col min="3" max="3" width="12.453125" bestFit="1" customWidth="1"/>
  </cols>
  <sheetData>
    <row r="1" spans="1:7" ht="15">
      <c r="A1" s="18" t="s">
        <v>392</v>
      </c>
      <c r="B1" s="19"/>
      <c r="C1" s="20"/>
      <c r="D1" s="19"/>
      <c r="E1" s="19"/>
      <c r="F1" s="19"/>
    </row>
    <row r="2" spans="1:7" ht="13.5">
      <c r="A2" s="19"/>
      <c r="B2" s="19" t="s">
        <v>23</v>
      </c>
      <c r="C2" s="21" t="s">
        <v>23</v>
      </c>
      <c r="D2" s="19"/>
      <c r="E2" s="19"/>
      <c r="F2" s="19"/>
      <c r="G2" s="19"/>
    </row>
    <row r="3" spans="1:7" ht="13">
      <c r="A3" s="19" t="s">
        <v>355</v>
      </c>
      <c r="B3" s="19" t="s">
        <v>17</v>
      </c>
      <c r="C3" s="22">
        <v>50</v>
      </c>
      <c r="D3" s="23" t="s">
        <v>23</v>
      </c>
      <c r="E3" s="19"/>
      <c r="F3" s="19"/>
      <c r="G3" s="19"/>
    </row>
    <row r="4" spans="1:7" ht="13">
      <c r="A4" s="19" t="s">
        <v>356</v>
      </c>
      <c r="B4" s="19" t="s">
        <v>113</v>
      </c>
      <c r="C4" s="19">
        <v>50</v>
      </c>
      <c r="D4" s="23" t="s">
        <v>23</v>
      </c>
      <c r="E4" s="19"/>
      <c r="F4" s="19"/>
      <c r="G4" s="19"/>
    </row>
    <row r="5" spans="1:7" ht="15">
      <c r="A5" s="19" t="s">
        <v>114</v>
      </c>
      <c r="B5" s="14" t="s">
        <v>115</v>
      </c>
      <c r="C5" s="14">
        <v>0.04</v>
      </c>
      <c r="D5" s="23"/>
      <c r="E5" s="19"/>
      <c r="F5" s="19"/>
      <c r="G5" s="19"/>
    </row>
    <row r="6" spans="1:7" ht="15">
      <c r="A6" s="19" t="s">
        <v>116</v>
      </c>
      <c r="B6" s="14" t="s">
        <v>117</v>
      </c>
      <c r="C6" s="14">
        <v>0.04</v>
      </c>
      <c r="D6" s="24"/>
      <c r="E6" s="19"/>
      <c r="F6" s="19"/>
      <c r="G6" s="19"/>
    </row>
    <row r="7" spans="1:7" ht="15">
      <c r="A7" s="19" t="s">
        <v>118</v>
      </c>
      <c r="B7" s="14" t="s">
        <v>119</v>
      </c>
      <c r="C7" s="25">
        <v>0.4</v>
      </c>
      <c r="D7" s="24"/>
      <c r="E7" s="19"/>
      <c r="F7" s="19"/>
      <c r="G7" s="19"/>
    </row>
    <row r="8" spans="1:7" ht="15">
      <c r="A8" s="19" t="s">
        <v>120</v>
      </c>
      <c r="B8" s="14" t="s">
        <v>121</v>
      </c>
      <c r="C8" s="25">
        <v>0.3</v>
      </c>
      <c r="D8" s="24"/>
      <c r="E8" s="19"/>
      <c r="F8" s="19"/>
      <c r="G8" s="19"/>
    </row>
    <row r="9" spans="1:7" ht="13">
      <c r="A9" s="19" t="s">
        <v>122</v>
      </c>
      <c r="B9" s="14" t="s">
        <v>123</v>
      </c>
      <c r="C9" s="25">
        <v>0.5</v>
      </c>
      <c r="D9" s="24"/>
      <c r="E9" s="19"/>
      <c r="F9" s="19"/>
      <c r="G9" s="19"/>
    </row>
    <row r="10" spans="1:7" ht="13">
      <c r="A10" s="19" t="s">
        <v>124</v>
      </c>
      <c r="B10" s="14" t="s">
        <v>0</v>
      </c>
      <c r="C10" s="14">
        <v>0.05</v>
      </c>
      <c r="D10" s="24"/>
      <c r="E10" s="19"/>
      <c r="F10" s="19"/>
      <c r="G10" s="19"/>
    </row>
    <row r="11" spans="1:7" ht="15">
      <c r="A11" s="19" t="s">
        <v>357</v>
      </c>
      <c r="B11" s="14" t="s">
        <v>358</v>
      </c>
      <c r="C11" s="26">
        <v>100</v>
      </c>
      <c r="D11" s="24"/>
      <c r="E11" s="19"/>
      <c r="F11" s="19"/>
      <c r="G11" s="19"/>
    </row>
    <row r="12" spans="1:7" ht="15">
      <c r="A12" s="19" t="s">
        <v>359</v>
      </c>
      <c r="B12" s="14" t="s">
        <v>360</v>
      </c>
      <c r="C12" s="26">
        <v>100</v>
      </c>
      <c r="D12" s="24"/>
      <c r="E12" s="19"/>
      <c r="F12" s="19"/>
      <c r="G12" s="19"/>
    </row>
    <row r="13" spans="1:7" ht="13">
      <c r="A13" s="19" t="s">
        <v>23</v>
      </c>
      <c r="B13" s="14" t="s">
        <v>23</v>
      </c>
      <c r="C13" s="24" t="s">
        <v>23</v>
      </c>
      <c r="D13" s="24"/>
      <c r="E13" s="19"/>
      <c r="F13" s="19"/>
      <c r="G13" s="19"/>
    </row>
    <row r="14" spans="1:7" ht="13">
      <c r="A14" s="19" t="s">
        <v>23</v>
      </c>
      <c r="B14" s="14" t="s">
        <v>23</v>
      </c>
      <c r="C14" s="24" t="s">
        <v>23</v>
      </c>
      <c r="D14" s="24"/>
      <c r="E14" s="19"/>
      <c r="F14" s="19"/>
      <c r="G14" s="19"/>
    </row>
    <row r="15" spans="1:7" ht="15">
      <c r="A15" s="19" t="s">
        <v>129</v>
      </c>
      <c r="B15" s="14" t="s">
        <v>130</v>
      </c>
      <c r="C15" s="24">
        <v>50</v>
      </c>
      <c r="D15" s="24"/>
      <c r="E15" s="19"/>
      <c r="F15" s="19"/>
      <c r="G15" s="19"/>
    </row>
    <row r="16" spans="1:7" ht="15">
      <c r="A16" s="19" t="s">
        <v>131</v>
      </c>
      <c r="B16" s="14" t="s">
        <v>132</v>
      </c>
      <c r="C16" s="24">
        <v>70</v>
      </c>
      <c r="D16" s="24"/>
      <c r="E16" s="19"/>
      <c r="F16" s="19"/>
      <c r="G16" s="19"/>
    </row>
    <row r="17" spans="1:7" ht="13">
      <c r="A17" s="19" t="s">
        <v>361</v>
      </c>
      <c r="B17" s="19" t="s">
        <v>3</v>
      </c>
      <c r="C17" s="27">
        <f>(-C3/C5+C11/C10)</f>
        <v>750</v>
      </c>
      <c r="D17" s="24" t="s">
        <v>23</v>
      </c>
      <c r="E17" s="19"/>
      <c r="F17" s="19"/>
      <c r="G17" s="19"/>
    </row>
    <row r="18" spans="1:7" ht="13">
      <c r="A18" s="19" t="s">
        <v>362</v>
      </c>
      <c r="B18" s="19" t="s">
        <v>136</v>
      </c>
      <c r="C18" s="27">
        <f>(-C4/C6+C12/C10)</f>
        <v>750</v>
      </c>
      <c r="D18" s="24" t="s">
        <v>23</v>
      </c>
      <c r="E18" s="19"/>
      <c r="F18" s="19"/>
      <c r="G18" s="19"/>
    </row>
    <row r="19" spans="1:7" ht="15">
      <c r="A19" s="19" t="s">
        <v>138</v>
      </c>
      <c r="B19" s="14" t="s">
        <v>139</v>
      </c>
      <c r="C19" s="28">
        <f>C3</f>
        <v>50</v>
      </c>
      <c r="D19" s="24"/>
      <c r="E19" s="19"/>
      <c r="F19" s="19"/>
      <c r="G19" s="19"/>
    </row>
    <row r="20" spans="1:7" ht="15">
      <c r="A20" s="19" t="s">
        <v>140</v>
      </c>
      <c r="B20" s="14" t="s">
        <v>141</v>
      </c>
      <c r="C20" s="28">
        <v>50</v>
      </c>
      <c r="D20" s="24"/>
      <c r="E20" s="19"/>
      <c r="F20" s="19"/>
      <c r="G20" s="19"/>
    </row>
    <row r="21" spans="1:7" ht="13">
      <c r="A21" s="19"/>
      <c r="B21" s="19" t="s">
        <v>142</v>
      </c>
      <c r="C21" s="19"/>
      <c r="D21" s="19" t="s">
        <v>143</v>
      </c>
      <c r="E21" s="19"/>
      <c r="F21" s="19"/>
      <c r="G21" s="19"/>
    </row>
    <row r="22" spans="1:7" ht="15">
      <c r="A22" s="19" t="s">
        <v>144</v>
      </c>
      <c r="B22" s="29" t="s">
        <v>145</v>
      </c>
      <c r="C22" s="65">
        <f>-C3/C5+C11/C10+C24*C3^C28*C4^C29</f>
        <v>1380.6640239830922</v>
      </c>
      <c r="D22" s="31">
        <f>C22-C17</f>
        <v>630.66402398309219</v>
      </c>
      <c r="E22" s="19"/>
      <c r="F22" s="19"/>
      <c r="G22" s="19"/>
    </row>
    <row r="23" spans="1:7" ht="15">
      <c r="A23" s="19" t="s">
        <v>146</v>
      </c>
      <c r="B23" s="29" t="s">
        <v>147</v>
      </c>
      <c r="C23" s="65">
        <f>-C4/C6+C12/C10+C25*C3^C30*C4^C31</f>
        <v>1362.140937218443</v>
      </c>
      <c r="D23" s="31">
        <f>C23-C18</f>
        <v>612.14093721844301</v>
      </c>
      <c r="E23" s="19"/>
      <c r="F23" s="19"/>
      <c r="G23" s="19"/>
    </row>
    <row r="24" spans="1:7" ht="13">
      <c r="A24" s="19"/>
      <c r="B24" s="32" t="s">
        <v>27</v>
      </c>
      <c r="C24" s="33">
        <v>9.2471220458728194</v>
      </c>
      <c r="D24" s="34"/>
      <c r="E24" s="19"/>
      <c r="F24" s="19"/>
      <c r="G24" s="19"/>
    </row>
    <row r="25" spans="1:7" ht="13">
      <c r="A25" s="19"/>
      <c r="B25" s="32" t="s">
        <v>148</v>
      </c>
      <c r="C25" s="33">
        <v>8.78741089736398</v>
      </c>
      <c r="D25" s="34"/>
      <c r="E25" s="19"/>
      <c r="F25" s="19"/>
      <c r="G25" s="19"/>
    </row>
    <row r="26" spans="1:7" ht="15">
      <c r="A26" s="19" t="s">
        <v>149</v>
      </c>
      <c r="B26" s="35" t="s">
        <v>150</v>
      </c>
      <c r="C26" s="36">
        <v>22.285131313079983</v>
      </c>
      <c r="D26" s="23"/>
      <c r="E26" s="19"/>
      <c r="F26" s="19"/>
      <c r="G26" s="19"/>
    </row>
    <row r="27" spans="1:7" ht="15">
      <c r="A27" s="19" t="s">
        <v>363</v>
      </c>
      <c r="B27" s="35" t="s">
        <v>151</v>
      </c>
      <c r="C27" s="36">
        <v>84.482978770777891</v>
      </c>
      <c r="D27" s="23"/>
      <c r="E27" s="19"/>
      <c r="F27" s="19"/>
      <c r="G27" s="19"/>
    </row>
    <row r="28" spans="1:7" ht="15">
      <c r="A28" s="19" t="s">
        <v>152</v>
      </c>
      <c r="B28" s="35" t="s">
        <v>153</v>
      </c>
      <c r="C28" s="39">
        <v>1.4197152472970274</v>
      </c>
      <c r="D28" s="38" t="s">
        <v>156</v>
      </c>
      <c r="E28" s="19"/>
      <c r="F28" s="19" t="s">
        <v>23</v>
      </c>
      <c r="G28" s="19" t="s">
        <v>23</v>
      </c>
    </row>
    <row r="29" spans="1:7" ht="15">
      <c r="A29" s="19" t="s">
        <v>152</v>
      </c>
      <c r="B29" s="35" t="s">
        <v>155</v>
      </c>
      <c r="C29" s="39">
        <v>-0.34036042452706922</v>
      </c>
      <c r="D29" s="38" t="s">
        <v>154</v>
      </c>
      <c r="E29" s="19"/>
      <c r="F29" s="19" t="s">
        <v>23</v>
      </c>
      <c r="G29" s="19" t="s">
        <v>23</v>
      </c>
    </row>
    <row r="30" spans="1:7" ht="15">
      <c r="A30" s="19" t="s">
        <v>152</v>
      </c>
      <c r="B30" s="35" t="s">
        <v>157</v>
      </c>
      <c r="C30" s="39">
        <v>-0.37967462466286722</v>
      </c>
      <c r="D30" s="38" t="s">
        <v>154</v>
      </c>
      <c r="E30" s="19"/>
      <c r="F30" s="19" t="s">
        <v>23</v>
      </c>
      <c r="G30" s="19" t="s">
        <v>23</v>
      </c>
    </row>
    <row r="31" spans="1:7" ht="15">
      <c r="A31" s="19" t="s">
        <v>152</v>
      </c>
      <c r="B31" s="35" t="s">
        <v>158</v>
      </c>
      <c r="C31" s="39">
        <v>1.4644439172517001</v>
      </c>
      <c r="D31" s="38" t="s">
        <v>156</v>
      </c>
      <c r="E31" s="19"/>
      <c r="F31" s="19" t="s">
        <v>23</v>
      </c>
      <c r="G31" s="19" t="s">
        <v>23</v>
      </c>
    </row>
    <row r="32" spans="1:7" ht="13">
      <c r="A32" s="19"/>
      <c r="B32" s="19" t="s">
        <v>159</v>
      </c>
      <c r="C32" s="39"/>
      <c r="D32" s="27"/>
      <c r="E32" s="19"/>
      <c r="F32" s="19"/>
      <c r="G32" s="19"/>
    </row>
    <row r="33" spans="1:6" ht="13">
      <c r="A33" s="19" t="s">
        <v>160</v>
      </c>
      <c r="B33" s="32" t="s">
        <v>364</v>
      </c>
      <c r="C33" s="39">
        <f>(C24*C19^C28*C26^C29-C19/C5+C11/C10-C25*C19^C30*C26^C31+C26/C6-C12/C10+C15)</f>
        <v>-3.1284344004234299E-8</v>
      </c>
      <c r="E33" s="19"/>
      <c r="F33" s="19"/>
    </row>
    <row r="34" spans="1:6" ht="13">
      <c r="A34" s="19" t="s">
        <v>162</v>
      </c>
      <c r="B34" s="32" t="s">
        <v>365</v>
      </c>
      <c r="C34" s="39">
        <f>(C24*C20^C28*C27^C29-C20/C5+C11/C10-C25*C20^C30*C27^C31+C27/C6-C12/C10-C16)</f>
        <v>-6.4638152252882719E-7</v>
      </c>
      <c r="E34" s="19"/>
      <c r="F34" s="19"/>
    </row>
    <row r="35" spans="1:6" ht="13">
      <c r="A35" s="19" t="s">
        <v>164</v>
      </c>
      <c r="B35" s="32" t="s">
        <v>366</v>
      </c>
      <c r="C35" s="39">
        <f>(C28*C24*C19^(C28-1)*C26^C29-1/C5-C30*C25*C19^(C30-1)*C26^C31)</f>
        <v>1.6680434811178202E-10</v>
      </c>
      <c r="E35" s="19"/>
      <c r="F35" s="19"/>
    </row>
    <row r="36" spans="1:6" ht="13">
      <c r="A36" s="19" t="s">
        <v>166</v>
      </c>
      <c r="B36" s="32" t="s">
        <v>367</v>
      </c>
      <c r="C36" s="39">
        <f>(C29*C24*C19^C28*C26^(C29-1)-C31*C25*C19^C30*C26^(C31-1)+1/C6)</f>
        <v>-3.8287879533527303E-9</v>
      </c>
      <c r="E36" s="19"/>
      <c r="F36" s="19"/>
    </row>
    <row r="37" spans="1:6" ht="13">
      <c r="A37" s="19" t="s">
        <v>168</v>
      </c>
      <c r="B37" s="32" t="s">
        <v>368</v>
      </c>
      <c r="C37" s="39">
        <f>(C28*C24*C20^(C28-1)*C27^C29-1/C5-C30*C25*C20^(C30-1)*C27^C31)</f>
        <v>4.4117420827660681E-9</v>
      </c>
      <c r="E37" s="19"/>
      <c r="F37" s="19"/>
    </row>
    <row r="38" spans="1:6" ht="13">
      <c r="A38" s="19" t="s">
        <v>170</v>
      </c>
      <c r="B38" s="32" t="s">
        <v>369</v>
      </c>
      <c r="C38" s="39">
        <f>(C29*C24*C20^C28*C27^(C29-1)-C31*C25*C20^C30*C27^(C31-1)+1/C6)</f>
        <v>-9.6195655885367159E-9</v>
      </c>
      <c r="E38" s="19"/>
      <c r="F38" s="19"/>
    </row>
    <row r="39" spans="1:6" ht="13">
      <c r="A39" s="19" t="s">
        <v>172</v>
      </c>
      <c r="B39" s="32" t="s">
        <v>370</v>
      </c>
      <c r="C39" s="39">
        <f>0.5*C7^2*C28*(C28-1)+0.5*C8^2*C29*(C29-1)+C9*C7*C8*C28*C29+C28*(C10-C5)+C29*(C10-C6)-C10</f>
        <v>-9.4764474045661018E-14</v>
      </c>
      <c r="D39" s="27"/>
      <c r="E39" s="19"/>
      <c r="F39" s="19"/>
    </row>
    <row r="40" spans="1:6" ht="13">
      <c r="A40" s="19" t="s">
        <v>174</v>
      </c>
      <c r="B40" s="32" t="s">
        <v>371</v>
      </c>
      <c r="C40" s="39">
        <f>0.5*C7^2*C30*(C30-1)+0.5*C8^2*C31*(C31-1)+C9*C7*C8*C30*C31+C30*(C10-C5)+C31*(C10-C6)-C10</f>
        <v>-8.2146789370796114E-13</v>
      </c>
      <c r="D40" s="27"/>
      <c r="E40" s="19"/>
      <c r="F40" s="19"/>
    </row>
    <row r="41" spans="1:6" ht="13">
      <c r="A41" s="19"/>
      <c r="B41" s="19" t="s">
        <v>176</v>
      </c>
      <c r="C41" s="71">
        <f>SUM(ABS(C33)+ABS(C34)+ABS(C35)+ABS(C36)+ABS(C37)+ABS(C38)+ABS(C39)+ABS(C40))</f>
        <v>6.9569368273819654E-7</v>
      </c>
      <c r="D41" s="42" t="s">
        <v>23</v>
      </c>
      <c r="E41" s="19"/>
      <c r="F41" s="19"/>
    </row>
    <row r="42" spans="1:6" ht="13">
      <c r="B42" s="32" t="s">
        <v>18</v>
      </c>
    </row>
    <row r="43" spans="1:6" ht="13">
      <c r="A43" s="32" t="s">
        <v>364</v>
      </c>
      <c r="B43" s="66" t="s">
        <v>372</v>
      </c>
    </row>
    <row r="44" spans="1:6" ht="13">
      <c r="A44" s="32" t="s">
        <v>365</v>
      </c>
      <c r="B44" s="66" t="s">
        <v>373</v>
      </c>
    </row>
    <row r="45" spans="1:6" ht="13">
      <c r="A45" s="32" t="s">
        <v>366</v>
      </c>
      <c r="B45" s="66" t="s">
        <v>374</v>
      </c>
    </row>
    <row r="46" spans="1:6" ht="13">
      <c r="A46" s="32" t="s">
        <v>367</v>
      </c>
      <c r="B46" s="66" t="s">
        <v>375</v>
      </c>
    </row>
    <row r="47" spans="1:6" ht="13">
      <c r="A47" s="32" t="s">
        <v>368</v>
      </c>
      <c r="B47" s="66" t="s">
        <v>376</v>
      </c>
    </row>
    <row r="48" spans="1:6" ht="13">
      <c r="A48" s="32" t="s">
        <v>369</v>
      </c>
      <c r="B48" s="66" t="s">
        <v>377</v>
      </c>
    </row>
    <row r="49" spans="1:3" ht="13">
      <c r="A49" s="32" t="s">
        <v>370</v>
      </c>
      <c r="B49" s="44" t="s">
        <v>192</v>
      </c>
    </row>
    <row r="50" spans="1:3" ht="13">
      <c r="A50" s="32" t="s">
        <v>371</v>
      </c>
      <c r="B50" s="44" t="s">
        <v>193</v>
      </c>
    </row>
    <row r="51" spans="1:3" ht="13">
      <c r="A51" s="32" t="s">
        <v>194</v>
      </c>
      <c r="C51" s="11">
        <f>-C26+C27</f>
        <v>62.197847457697904</v>
      </c>
    </row>
    <row r="52" spans="1:3" ht="15">
      <c r="A52" s="32" t="s">
        <v>378</v>
      </c>
      <c r="B52" s="67" t="s">
        <v>379</v>
      </c>
    </row>
    <row r="53" spans="1:3" ht="15">
      <c r="A53" s="32" t="s">
        <v>380</v>
      </c>
      <c r="B53" s="67" t="s">
        <v>381</v>
      </c>
    </row>
  </sheetData>
  <printOptions horizontalCentered="1" headings="1"/>
  <pageMargins left="0.7" right="0.24" top="0.75" bottom="0.75" header="0.3" footer="0.3"/>
  <pageSetup scale="9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3"/>
  <sheetViews>
    <sheetView topLeftCell="A48" workbookViewId="0">
      <selection sqref="A1:H63"/>
    </sheetView>
  </sheetViews>
  <sheetFormatPr defaultRowHeight="12.5"/>
  <cols>
    <col min="1" max="1" width="26.7265625" bestFit="1" customWidth="1"/>
    <col min="3" max="3" width="12.453125" bestFit="1" customWidth="1"/>
    <col min="4" max="8" width="12.453125" customWidth="1"/>
  </cols>
  <sheetData>
    <row r="1" spans="1:8" ht="15">
      <c r="A1" s="18" t="s">
        <v>354</v>
      </c>
      <c r="B1" s="19"/>
      <c r="C1" s="20"/>
      <c r="D1" s="20"/>
      <c r="E1" s="20"/>
      <c r="F1" s="20"/>
      <c r="G1" s="20"/>
      <c r="H1" s="20"/>
    </row>
    <row r="2" spans="1:8" ht="13.5">
      <c r="A2" s="19"/>
      <c r="B2" s="19" t="s">
        <v>23</v>
      </c>
      <c r="C2" s="21" t="s">
        <v>23</v>
      </c>
      <c r="D2" s="21"/>
      <c r="E2" s="21"/>
      <c r="F2" s="21"/>
      <c r="G2" s="21"/>
      <c r="H2" s="21"/>
    </row>
    <row r="3" spans="1:8" ht="13">
      <c r="A3" s="19" t="s">
        <v>355</v>
      </c>
      <c r="B3" s="19" t="s">
        <v>17</v>
      </c>
      <c r="C3" s="22">
        <v>50</v>
      </c>
      <c r="D3" s="22">
        <v>50</v>
      </c>
      <c r="E3" s="22">
        <v>50</v>
      </c>
      <c r="F3" s="22">
        <v>50</v>
      </c>
      <c r="G3" s="22">
        <v>50</v>
      </c>
      <c r="H3" s="22">
        <v>50</v>
      </c>
    </row>
    <row r="4" spans="1:8" ht="13">
      <c r="A4" s="19" t="s">
        <v>356</v>
      </c>
      <c r="B4" s="19" t="s">
        <v>113</v>
      </c>
      <c r="C4" s="19">
        <v>50</v>
      </c>
      <c r="D4" s="19">
        <v>50</v>
      </c>
      <c r="E4" s="19">
        <v>50</v>
      </c>
      <c r="F4" s="19">
        <v>50</v>
      </c>
      <c r="G4" s="19">
        <v>50</v>
      </c>
      <c r="H4" s="19">
        <v>50</v>
      </c>
    </row>
    <row r="5" spans="1:8" ht="15">
      <c r="A5" s="19" t="s">
        <v>114</v>
      </c>
      <c r="B5" s="14" t="s">
        <v>115</v>
      </c>
      <c r="C5" s="14">
        <v>0.04</v>
      </c>
      <c r="D5" s="14">
        <v>0.04</v>
      </c>
      <c r="E5" s="14">
        <v>0.04</v>
      </c>
      <c r="F5" s="14">
        <v>0.04</v>
      </c>
      <c r="G5" s="14">
        <v>0.04</v>
      </c>
      <c r="H5" s="14">
        <v>0.04</v>
      </c>
    </row>
    <row r="6" spans="1:8" ht="15">
      <c r="A6" s="19" t="s">
        <v>116</v>
      </c>
      <c r="B6" s="14" t="s">
        <v>117</v>
      </c>
      <c r="C6" s="14">
        <v>0.04</v>
      </c>
      <c r="D6" s="14">
        <v>0.04</v>
      </c>
      <c r="E6" s="14">
        <v>0.04</v>
      </c>
      <c r="F6" s="14">
        <v>0.04</v>
      </c>
      <c r="G6" s="14">
        <v>0.04</v>
      </c>
      <c r="H6" s="14">
        <v>0.04</v>
      </c>
    </row>
    <row r="7" spans="1:8" ht="15">
      <c r="A7" s="19" t="s">
        <v>118</v>
      </c>
      <c r="B7" s="14" t="s">
        <v>119</v>
      </c>
      <c r="C7" s="68">
        <v>0.2</v>
      </c>
      <c r="D7" s="68">
        <f>C7+0.05</f>
        <v>0.25</v>
      </c>
      <c r="E7" s="68">
        <f>D7+0.05</f>
        <v>0.3</v>
      </c>
      <c r="F7" s="68">
        <f>E7+0.05</f>
        <v>0.35</v>
      </c>
      <c r="G7" s="68">
        <f>F7+0.05</f>
        <v>0.39999999999999997</v>
      </c>
      <c r="H7" s="68">
        <f>G7+0.05</f>
        <v>0.44999999999999996</v>
      </c>
    </row>
    <row r="8" spans="1:8" ht="15">
      <c r="A8" s="19" t="s">
        <v>120</v>
      </c>
      <c r="B8" s="14" t="s">
        <v>121</v>
      </c>
      <c r="C8" s="25">
        <v>0.3</v>
      </c>
      <c r="D8" s="25">
        <v>0.3</v>
      </c>
      <c r="E8" s="25">
        <v>0.3</v>
      </c>
      <c r="F8" s="25">
        <v>0.3</v>
      </c>
      <c r="G8" s="25">
        <v>0.3</v>
      </c>
      <c r="H8" s="25">
        <v>0.3</v>
      </c>
    </row>
    <row r="9" spans="1:8" ht="13">
      <c r="A9" s="19" t="s">
        <v>122</v>
      </c>
      <c r="B9" s="14" t="s">
        <v>123</v>
      </c>
      <c r="C9" s="25">
        <v>0.5</v>
      </c>
      <c r="D9" s="25">
        <v>0.5</v>
      </c>
      <c r="E9" s="25">
        <v>0.5</v>
      </c>
      <c r="F9" s="25">
        <v>0.5</v>
      </c>
      <c r="G9" s="25">
        <v>0.5</v>
      </c>
      <c r="H9" s="25">
        <v>0.5</v>
      </c>
    </row>
    <row r="10" spans="1:8" ht="13">
      <c r="A10" s="19" t="s">
        <v>124</v>
      </c>
      <c r="B10" s="14" t="s">
        <v>0</v>
      </c>
      <c r="C10" s="14">
        <v>0.05</v>
      </c>
      <c r="D10" s="14">
        <v>0.05</v>
      </c>
      <c r="E10" s="14">
        <v>0.05</v>
      </c>
      <c r="F10" s="14">
        <v>0.05</v>
      </c>
      <c r="G10" s="14">
        <v>0.05</v>
      </c>
      <c r="H10" s="14">
        <v>0.05</v>
      </c>
    </row>
    <row r="11" spans="1:8" ht="15">
      <c r="A11" s="19" t="s">
        <v>357</v>
      </c>
      <c r="B11" s="14" t="s">
        <v>358</v>
      </c>
      <c r="C11" s="26">
        <v>100</v>
      </c>
      <c r="D11" s="26">
        <v>100</v>
      </c>
      <c r="E11" s="26">
        <v>100</v>
      </c>
      <c r="F11" s="26">
        <v>100</v>
      </c>
      <c r="G11" s="26">
        <v>100</v>
      </c>
      <c r="H11" s="26">
        <v>100</v>
      </c>
    </row>
    <row r="12" spans="1:8" ht="15">
      <c r="A12" s="19" t="s">
        <v>359</v>
      </c>
      <c r="B12" s="14" t="s">
        <v>360</v>
      </c>
      <c r="C12" s="26">
        <v>100</v>
      </c>
      <c r="D12" s="26">
        <v>100</v>
      </c>
      <c r="E12" s="26">
        <v>100</v>
      </c>
      <c r="F12" s="26">
        <v>100</v>
      </c>
      <c r="G12" s="26">
        <v>100</v>
      </c>
      <c r="H12" s="26">
        <v>100</v>
      </c>
    </row>
    <row r="13" spans="1:8" ht="13">
      <c r="A13" s="19" t="s">
        <v>23</v>
      </c>
      <c r="B13" s="14" t="s">
        <v>23</v>
      </c>
      <c r="C13" s="24" t="s">
        <v>23</v>
      </c>
      <c r="D13" s="24" t="s">
        <v>23</v>
      </c>
      <c r="E13" s="24" t="s">
        <v>23</v>
      </c>
      <c r="F13" s="24" t="s">
        <v>23</v>
      </c>
      <c r="G13" s="24" t="s">
        <v>23</v>
      </c>
      <c r="H13" s="24" t="s">
        <v>23</v>
      </c>
    </row>
    <row r="14" spans="1:8" ht="13">
      <c r="A14" s="19" t="s">
        <v>23</v>
      </c>
      <c r="B14" s="14" t="s">
        <v>23</v>
      </c>
      <c r="C14" s="24" t="s">
        <v>23</v>
      </c>
      <c r="D14" s="24" t="s">
        <v>23</v>
      </c>
      <c r="E14" s="24" t="s">
        <v>23</v>
      </c>
      <c r="F14" s="24" t="s">
        <v>23</v>
      </c>
      <c r="G14" s="24" t="s">
        <v>23</v>
      </c>
      <c r="H14" s="24" t="s">
        <v>23</v>
      </c>
    </row>
    <row r="15" spans="1:8" ht="15">
      <c r="A15" s="19" t="s">
        <v>129</v>
      </c>
      <c r="B15" s="14" t="s">
        <v>130</v>
      </c>
      <c r="C15" s="24">
        <v>50</v>
      </c>
      <c r="D15" s="24">
        <v>50</v>
      </c>
      <c r="E15" s="24">
        <v>50</v>
      </c>
      <c r="F15" s="24">
        <v>50</v>
      </c>
      <c r="G15" s="24">
        <v>50</v>
      </c>
      <c r="H15" s="24">
        <v>50</v>
      </c>
    </row>
    <row r="16" spans="1:8" ht="15">
      <c r="A16" s="19" t="s">
        <v>131</v>
      </c>
      <c r="B16" s="14" t="s">
        <v>132</v>
      </c>
      <c r="C16" s="24">
        <v>70</v>
      </c>
      <c r="D16" s="24">
        <v>70</v>
      </c>
      <c r="E16" s="24">
        <v>70</v>
      </c>
      <c r="F16" s="24">
        <v>70</v>
      </c>
      <c r="G16" s="24">
        <v>70</v>
      </c>
      <c r="H16" s="24">
        <v>70</v>
      </c>
    </row>
    <row r="17" spans="1:8" ht="13">
      <c r="A17" s="19" t="s">
        <v>361</v>
      </c>
      <c r="B17" s="19" t="s">
        <v>3</v>
      </c>
      <c r="C17" s="27">
        <f t="shared" ref="C17:H17" si="0">(-C3/C5+C11/C10)</f>
        <v>750</v>
      </c>
      <c r="D17" s="27">
        <f t="shared" si="0"/>
        <v>750</v>
      </c>
      <c r="E17" s="27">
        <f t="shared" si="0"/>
        <v>750</v>
      </c>
      <c r="F17" s="27">
        <f t="shared" si="0"/>
        <v>750</v>
      </c>
      <c r="G17" s="27">
        <f t="shared" si="0"/>
        <v>750</v>
      </c>
      <c r="H17" s="27">
        <f t="shared" si="0"/>
        <v>750</v>
      </c>
    </row>
    <row r="18" spans="1:8" ht="13">
      <c r="A18" s="19" t="s">
        <v>362</v>
      </c>
      <c r="B18" s="19" t="s">
        <v>136</v>
      </c>
      <c r="C18" s="27">
        <f t="shared" ref="C18:H18" si="1">(-C4/C6+C12/C10)</f>
        <v>750</v>
      </c>
      <c r="D18" s="27">
        <f t="shared" si="1"/>
        <v>750</v>
      </c>
      <c r="E18" s="27">
        <f t="shared" si="1"/>
        <v>750</v>
      </c>
      <c r="F18" s="27">
        <f t="shared" si="1"/>
        <v>750</v>
      </c>
      <c r="G18" s="27">
        <f t="shared" si="1"/>
        <v>750</v>
      </c>
      <c r="H18" s="27">
        <f t="shared" si="1"/>
        <v>750</v>
      </c>
    </row>
    <row r="19" spans="1:8" ht="15">
      <c r="A19" s="19" t="s">
        <v>138</v>
      </c>
      <c r="B19" s="14" t="s">
        <v>139</v>
      </c>
      <c r="C19" s="28">
        <f t="shared" ref="C19:H19" si="2">C3</f>
        <v>50</v>
      </c>
      <c r="D19" s="28">
        <f t="shared" si="2"/>
        <v>50</v>
      </c>
      <c r="E19" s="28">
        <f t="shared" si="2"/>
        <v>50</v>
      </c>
      <c r="F19" s="28">
        <f t="shared" si="2"/>
        <v>50</v>
      </c>
      <c r="G19" s="28">
        <f t="shared" si="2"/>
        <v>50</v>
      </c>
      <c r="H19" s="28">
        <f t="shared" si="2"/>
        <v>50</v>
      </c>
    </row>
    <row r="20" spans="1:8" ht="15">
      <c r="A20" s="19" t="s">
        <v>140</v>
      </c>
      <c r="B20" s="14" t="s">
        <v>141</v>
      </c>
      <c r="C20" s="28">
        <f t="shared" ref="C20:H20" si="3">C3</f>
        <v>50</v>
      </c>
      <c r="D20" s="28">
        <f t="shared" si="3"/>
        <v>50</v>
      </c>
      <c r="E20" s="28">
        <f t="shared" si="3"/>
        <v>50</v>
      </c>
      <c r="F20" s="28">
        <f t="shared" si="3"/>
        <v>50</v>
      </c>
      <c r="G20" s="28">
        <f t="shared" si="3"/>
        <v>50</v>
      </c>
      <c r="H20" s="28">
        <f t="shared" si="3"/>
        <v>50</v>
      </c>
    </row>
    <row r="21" spans="1:8" ht="13">
      <c r="A21" s="19"/>
      <c r="B21" s="19" t="s">
        <v>142</v>
      </c>
      <c r="C21" s="19"/>
      <c r="D21" s="19"/>
      <c r="E21" s="19"/>
      <c r="F21" s="19"/>
      <c r="G21" s="19"/>
      <c r="H21" s="19"/>
    </row>
    <row r="22" spans="1:8" ht="15">
      <c r="A22" s="19" t="s">
        <v>144</v>
      </c>
      <c r="B22" s="29" t="s">
        <v>145</v>
      </c>
      <c r="C22" s="65">
        <f t="shared" ref="C22:H22" si="4">-C3/C5+C11/C10+C24*C3^C28*C4^C29</f>
        <v>1222.5111956375447</v>
      </c>
      <c r="D22" s="65">
        <f t="shared" si="4"/>
        <v>1249.1110366661503</v>
      </c>
      <c r="E22" s="65">
        <f t="shared" si="4"/>
        <v>1286.9149665276336</v>
      </c>
      <c r="F22" s="65">
        <f t="shared" si="4"/>
        <v>1331.9588517873992</v>
      </c>
      <c r="G22" s="65">
        <f t="shared" si="4"/>
        <v>1380.6640239535664</v>
      </c>
      <c r="H22" s="65">
        <f t="shared" si="4"/>
        <v>1430.2538678318722</v>
      </c>
    </row>
    <row r="23" spans="1:8" ht="15">
      <c r="A23" s="19" t="s">
        <v>146</v>
      </c>
      <c r="B23" s="29" t="s">
        <v>147</v>
      </c>
      <c r="C23" s="65">
        <f t="shared" ref="C23:H23" si="5">-C4/C6+C12/C10+C25*C3^C30*C4^C31</f>
        <v>1222.8747826871891</v>
      </c>
      <c r="D23" s="65">
        <f t="shared" si="5"/>
        <v>1244.9931445691957</v>
      </c>
      <c r="E23" s="65">
        <f t="shared" si="5"/>
        <v>1277.895862195064</v>
      </c>
      <c r="F23" s="65">
        <f t="shared" si="5"/>
        <v>1318.0621982215689</v>
      </c>
      <c r="G23" s="65">
        <f t="shared" si="5"/>
        <v>1362.1409369025534</v>
      </c>
      <c r="H23" s="65">
        <f t="shared" si="5"/>
        <v>1407.4203468573482</v>
      </c>
    </row>
    <row r="24" spans="1:8" ht="13">
      <c r="A24" s="19"/>
      <c r="B24" s="32" t="s">
        <v>27</v>
      </c>
      <c r="C24" s="33">
        <v>6.2905087787657443</v>
      </c>
      <c r="D24" s="33">
        <v>6.7937549317452666</v>
      </c>
      <c r="E24" s="33">
        <v>7.498730129207396</v>
      </c>
      <c r="F24" s="33">
        <v>8.3371422369354651</v>
      </c>
      <c r="G24" s="33">
        <v>9.2471220439549917</v>
      </c>
      <c r="H24" s="33">
        <v>10.179844987733814</v>
      </c>
    </row>
    <row r="25" spans="1:8" ht="13">
      <c r="A25" s="19"/>
      <c r="B25" s="32" t="s">
        <v>148</v>
      </c>
      <c r="C25" s="33">
        <v>6.6470453880713842</v>
      </c>
      <c r="D25" s="33">
        <v>6.9587921152725514</v>
      </c>
      <c r="E25" s="33">
        <v>7.4549260825583756</v>
      </c>
      <c r="F25" s="33">
        <v>8.0824125404810268</v>
      </c>
      <c r="G25" s="33">
        <v>8.7874108903832155</v>
      </c>
      <c r="H25" s="33">
        <v>9.5233096139602917</v>
      </c>
    </row>
    <row r="26" spans="1:8" ht="15">
      <c r="A26" s="19" t="s">
        <v>149</v>
      </c>
      <c r="B26" s="35" t="s">
        <v>150</v>
      </c>
      <c r="C26" s="36">
        <v>29.847065347151482</v>
      </c>
      <c r="D26" s="36">
        <v>28.325663932755724</v>
      </c>
      <c r="E26" s="36">
        <v>26.449580804357112</v>
      </c>
      <c r="F26" s="36">
        <v>24.393738805083697</v>
      </c>
      <c r="G26" s="36">
        <v>22.285131302388976</v>
      </c>
      <c r="H26" s="36">
        <v>20.20353975389709</v>
      </c>
    </row>
    <row r="27" spans="1:8" ht="15">
      <c r="A27" s="19" t="s">
        <v>149</v>
      </c>
      <c r="B27" s="35" t="s">
        <v>151</v>
      </c>
      <c r="C27" s="36">
        <v>85.932814709553043</v>
      </c>
      <c r="D27" s="36">
        <v>85.225863672272666</v>
      </c>
      <c r="E27" s="36">
        <v>84.804802241509847</v>
      </c>
      <c r="F27" s="36">
        <v>84.589526408911411</v>
      </c>
      <c r="G27" s="36">
        <v>84.48297878827978</v>
      </c>
      <c r="H27" s="36">
        <v>84.390631295206816</v>
      </c>
    </row>
    <row r="28" spans="1:8" ht="15">
      <c r="A28" s="19" t="s">
        <v>152</v>
      </c>
      <c r="B28" s="35" t="s">
        <v>153</v>
      </c>
      <c r="C28" s="37">
        <v>1.7348539820070779</v>
      </c>
      <c r="D28" s="37">
        <v>1.6632112002035631</v>
      </c>
      <c r="E28" s="37">
        <v>1.5785018900691894</v>
      </c>
      <c r="F28" s="37">
        <v>1.4948740324039445</v>
      </c>
      <c r="G28" s="37">
        <v>1.4197152472909877</v>
      </c>
      <c r="H28" s="37">
        <v>1.3554104739336279</v>
      </c>
    </row>
    <row r="29" spans="1:8" ht="15">
      <c r="A29" s="19" t="s">
        <v>152</v>
      </c>
      <c r="B29" s="35" t="s">
        <v>155</v>
      </c>
      <c r="C29" s="37">
        <v>-0.63081663847309644</v>
      </c>
      <c r="D29" s="37">
        <v>-0.56484731389871456</v>
      </c>
      <c r="E29" s="37">
        <v>-0.48671228739242062</v>
      </c>
      <c r="F29" s="37">
        <v>-0.40958408453394118</v>
      </c>
      <c r="G29" s="37">
        <v>-0.34036042447998166</v>
      </c>
      <c r="H29" s="37">
        <v>-0.28127152489218782</v>
      </c>
    </row>
    <row r="30" spans="1:8" ht="15">
      <c r="A30" s="19" t="s">
        <v>152</v>
      </c>
      <c r="B30" s="35" t="s">
        <v>157</v>
      </c>
      <c r="C30" s="37">
        <v>-0.57338496608525924</v>
      </c>
      <c r="D30" s="37">
        <v>-0.53882018209999849</v>
      </c>
      <c r="E30" s="37">
        <v>-0.48930462970028571</v>
      </c>
      <c r="F30" s="37">
        <v>-0.43403247789440363</v>
      </c>
      <c r="G30" s="37">
        <v>-0.37967462462483953</v>
      </c>
      <c r="H30" s="37">
        <v>-0.32987600305367398</v>
      </c>
    </row>
    <row r="31" spans="1:8" ht="15">
      <c r="A31" s="19" t="s">
        <v>152</v>
      </c>
      <c r="B31" s="35" t="s">
        <v>158</v>
      </c>
      <c r="C31" s="37">
        <v>1.6635263492234951</v>
      </c>
      <c r="D31" s="37">
        <v>1.6289308472395503</v>
      </c>
      <c r="E31" s="37">
        <v>1.578261416159308</v>
      </c>
      <c r="F31" s="37">
        <v>1.5210763171120074</v>
      </c>
      <c r="G31" s="37">
        <v>1.4644439172848287</v>
      </c>
      <c r="H31" s="37">
        <v>1.4123290378289359</v>
      </c>
    </row>
    <row r="32" spans="1:8" ht="13">
      <c r="A32" s="19"/>
      <c r="B32" s="19" t="s">
        <v>159</v>
      </c>
      <c r="C32" s="37" t="s">
        <v>23</v>
      </c>
      <c r="D32" s="37" t="s">
        <v>23</v>
      </c>
      <c r="E32" s="37" t="s">
        <v>23</v>
      </c>
      <c r="F32" s="37" t="s">
        <v>23</v>
      </c>
      <c r="G32" s="37" t="s">
        <v>23</v>
      </c>
      <c r="H32" s="37" t="s">
        <v>23</v>
      </c>
    </row>
    <row r="33" spans="1:8" ht="13">
      <c r="A33" s="19" t="s">
        <v>160</v>
      </c>
      <c r="B33" s="32" t="s">
        <v>161</v>
      </c>
      <c r="C33" s="37">
        <f>(C24*C19^C28*C26^C29-C19/C5+C11/C10-C25*C19^C30*C26^C31+C26/C6-C12/C10+C15)</f>
        <v>8.0368863564217463E-7</v>
      </c>
      <c r="D33" s="37">
        <f t="shared" ref="D33:H33" si="6">(D24*D19^D28*D26^D29-D19/D5+D11/D10-D25*D19^D30*D26^D31+D26/D6-D12/D10+D15)</f>
        <v>2.2737367544323206E-13</v>
      </c>
      <c r="E33" s="37">
        <f t="shared" si="6"/>
        <v>-4.5474735088646412E-13</v>
      </c>
      <c r="F33" s="37">
        <f t="shared" si="6"/>
        <v>-4.5474735088646412E-13</v>
      </c>
      <c r="G33" s="37">
        <f t="shared" si="6"/>
        <v>0</v>
      </c>
      <c r="H33" s="37">
        <f t="shared" si="6"/>
        <v>0</v>
      </c>
    </row>
    <row r="34" spans="1:8" ht="13">
      <c r="A34" s="19" t="s">
        <v>162</v>
      </c>
      <c r="B34" s="32" t="s">
        <v>163</v>
      </c>
      <c r="C34" s="37">
        <f>(C24*C20^C28*C27^C29-C20/C5+C11/C10-C25*C20^C30*C27^C31+C27/C6-C12/C10-C16)</f>
        <v>4.701987563748844E-7</v>
      </c>
      <c r="D34" s="37">
        <f t="shared" ref="D34:H34" si="7">(D24*D20^D28*D27^D29-D20/D5+D11/D10-D25*D20^D30*D27^D31+D27/D6-D12/D10-D16)</f>
        <v>0</v>
      </c>
      <c r="E34" s="37">
        <f t="shared" si="7"/>
        <v>4.5474735088646412E-13</v>
      </c>
      <c r="F34" s="37">
        <f t="shared" si="7"/>
        <v>0</v>
      </c>
      <c r="G34" s="37">
        <f t="shared" si="7"/>
        <v>0</v>
      </c>
      <c r="H34" s="37">
        <f t="shared" si="7"/>
        <v>9.0949470177292824E-13</v>
      </c>
    </row>
    <row r="35" spans="1:8" ht="13">
      <c r="A35" s="19" t="s">
        <v>164</v>
      </c>
      <c r="B35" s="32" t="s">
        <v>165</v>
      </c>
      <c r="C35" s="37">
        <f>(C28*C24*C19^(C28-1)*C26^C29-1/C5-C30*C25*C19^(C30-1)*C26^C31)</f>
        <v>2.8327154844021152E-8</v>
      </c>
      <c r="D35" s="37">
        <f t="shared" ref="D35:H35" si="8">(D28*D24*D19^(D28-1)*D26^D29-1/D5-D30*D25*D19^(D30-1)*D26^D31)</f>
        <v>-2.2204460492503131E-15</v>
      </c>
      <c r="E35" s="37">
        <f t="shared" si="8"/>
        <v>-2.6645352591003757E-15</v>
      </c>
      <c r="F35" s="37">
        <f t="shared" si="8"/>
        <v>-7.3274719625260332E-15</v>
      </c>
      <c r="G35" s="37">
        <f t="shared" si="8"/>
        <v>-3.1086244689504383E-15</v>
      </c>
      <c r="H35" s="37">
        <f t="shared" si="8"/>
        <v>3.1086244689504383E-15</v>
      </c>
    </row>
    <row r="36" spans="1:8" ht="13">
      <c r="A36" s="19" t="s">
        <v>166</v>
      </c>
      <c r="B36" s="32" t="s">
        <v>167</v>
      </c>
      <c r="C36" s="37">
        <f>(C29*C24*C19^C28*C26^(C29-1)-C31*C25*C19^C30*C26^(C31-1)+1/C6)</f>
        <v>-1.6950284731365173E-8</v>
      </c>
      <c r="D36" s="37">
        <f t="shared" ref="D36:H36" si="9">(D29*D24*D19^D28*D26^(D29-1)-D31*D25*D19^D30*D26^(D31-1)+1/D6)</f>
        <v>1.0658141036401503E-14</v>
      </c>
      <c r="E36" s="37">
        <f t="shared" si="9"/>
        <v>7.1054273576010019E-15</v>
      </c>
      <c r="F36" s="37">
        <f t="shared" si="9"/>
        <v>0</v>
      </c>
      <c r="G36" s="37">
        <f t="shared" si="9"/>
        <v>7.1054273576010019E-15</v>
      </c>
      <c r="H36" s="37">
        <f t="shared" si="9"/>
        <v>-7.1054273576010019E-15</v>
      </c>
    </row>
    <row r="37" spans="1:8" ht="13">
      <c r="A37" s="19" t="s">
        <v>168</v>
      </c>
      <c r="B37" s="32" t="s">
        <v>169</v>
      </c>
      <c r="C37" s="37">
        <f>(C28*C24*C20^(C28-1)*C27^C29-1/C5-C30*C25*C20^(C30-1)*C27^C31)</f>
        <v>1.9726728694990925E-8</v>
      </c>
      <c r="D37" s="37">
        <f t="shared" ref="D37:H37" si="10">(D28*D24*D20^(D28-1)*D27^D29-1/D5-D30*D25*D20^(D30-1)*D27^D31)</f>
        <v>-1.2434497875801753E-14</v>
      </c>
      <c r="E37" s="37">
        <f t="shared" si="10"/>
        <v>1.7763568394002505E-15</v>
      </c>
      <c r="F37" s="37">
        <f t="shared" si="10"/>
        <v>-1.2434497875801753E-14</v>
      </c>
      <c r="G37" s="37">
        <f t="shared" si="10"/>
        <v>0</v>
      </c>
      <c r="H37" s="37">
        <f t="shared" si="10"/>
        <v>0</v>
      </c>
    </row>
    <row r="38" spans="1:8" ht="13">
      <c r="A38" s="19" t="s">
        <v>170</v>
      </c>
      <c r="B38" s="32" t="s">
        <v>171</v>
      </c>
      <c r="C38" s="37">
        <f>(C29*C24*C20^C28*C27^(C29-1)-C31*C25*C20^C30*C27^(C31-1)+1/C6)</f>
        <v>-2.0163071212664363E-9</v>
      </c>
      <c r="D38" s="37">
        <f t="shared" ref="D38:H38" si="11">(D29*D24*D20^D28*D27^(D29-1)-D31*D25*D20^D30*D27^(D31-1)+1/D6)</f>
        <v>1.4210854715202004E-14</v>
      </c>
      <c r="E38" s="37">
        <f t="shared" si="11"/>
        <v>1.4210854715202004E-14</v>
      </c>
      <c r="F38" s="37">
        <f t="shared" si="11"/>
        <v>1.0658141036401503E-14</v>
      </c>
      <c r="G38" s="37">
        <f t="shared" si="11"/>
        <v>-3.5527136788005009E-15</v>
      </c>
      <c r="H38" s="37">
        <f t="shared" si="11"/>
        <v>-1.7763568394002505E-14</v>
      </c>
    </row>
    <row r="39" spans="1:8" ht="13">
      <c r="A39" s="19" t="s">
        <v>172</v>
      </c>
      <c r="B39" s="32" t="s">
        <v>173</v>
      </c>
      <c r="C39" s="69">
        <f>0.5*C7^2*C28*(C28-1)+0.5*C8^2*C29*(C29-1)+C9*C7*C8*C28*C29+C28*(C10-C5)+C29*(C10-C6)-C10</f>
        <v>9.1514990030461263E-13</v>
      </c>
      <c r="D39" s="69">
        <f t="shared" ref="D39:H39" si="12">0.5*D7^2*D28*(D28-1)+0.5*D8^2*D29*(D29-1)+D9*D7*D8*D28*D29+D28*(D10-D5)+D29*(D10-D6)-D10</f>
        <v>0</v>
      </c>
      <c r="E39" s="69">
        <f t="shared" si="12"/>
        <v>0</v>
      </c>
      <c r="F39" s="69">
        <f t="shared" si="12"/>
        <v>0</v>
      </c>
      <c r="G39" s="69">
        <f t="shared" si="12"/>
        <v>0</v>
      </c>
      <c r="H39" s="69">
        <f t="shared" si="12"/>
        <v>0</v>
      </c>
    </row>
    <row r="40" spans="1:8" ht="13">
      <c r="A40" s="19" t="s">
        <v>174</v>
      </c>
      <c r="B40" s="32" t="s">
        <v>175</v>
      </c>
      <c r="C40" s="69">
        <f>0.5*C7^2*C30*(C30-1)+0.5*C8^2*C31*(C31-1)+C9*C7*C8*C30*C31+C30*(C10-C5)+C31*(C10-C6)-C10</f>
        <v>-2.3078761124395442E-14</v>
      </c>
      <c r="D40" s="69">
        <f t="shared" ref="D40:H40" si="13">0.5*D7^2*D30*(D30-1)+0.5*D8^2*D31*(D31-1)+D9*D7*D8*D30*D31+D30*(D10-D5)+D31*(D10-D6)-D10</f>
        <v>0</v>
      </c>
      <c r="E40" s="69">
        <f t="shared" si="13"/>
        <v>0</v>
      </c>
      <c r="F40" s="69">
        <f t="shared" si="13"/>
        <v>0</v>
      </c>
      <c r="G40" s="69">
        <f t="shared" si="13"/>
        <v>0</v>
      </c>
      <c r="H40" s="69">
        <f t="shared" si="13"/>
        <v>0</v>
      </c>
    </row>
    <row r="41" spans="1:8" ht="13">
      <c r="A41" s="19"/>
      <c r="B41" s="19" t="s">
        <v>176</v>
      </c>
      <c r="C41" s="70">
        <f t="shared" ref="C41:H41" si="14">SUM(ABS(C33)+ABS(C34)+ABS(C35)+ABS(C36)+ABS(C37)+ABS(C38)+ABS(C39)+ABS(C40))</f>
        <v>1.3409088056373641E-6</v>
      </c>
      <c r="D41" s="70">
        <f t="shared" si="14"/>
        <v>2.6689761511988763E-13</v>
      </c>
      <c r="E41" s="70">
        <f t="shared" si="14"/>
        <v>9.3525187594423187E-13</v>
      </c>
      <c r="F41" s="70">
        <f t="shared" si="14"/>
        <v>4.8516746176119341E-13</v>
      </c>
      <c r="G41" s="70">
        <f t="shared" si="14"/>
        <v>1.3766765505351941E-14</v>
      </c>
      <c r="H41" s="70">
        <f t="shared" si="14"/>
        <v>9.3747232199348218E-13</v>
      </c>
    </row>
    <row r="42" spans="1:8" ht="13">
      <c r="B42" s="32" t="s">
        <v>382</v>
      </c>
      <c r="H42" s="51">
        <f t="array" ref="H42">SUM(ABS(C41:H41))</f>
        <v>1.3409114441934045E-6</v>
      </c>
    </row>
    <row r="43" spans="1:8" ht="15">
      <c r="B43" s="32" t="s">
        <v>207</v>
      </c>
      <c r="C43" s="11">
        <f>C27-C26</f>
        <v>56.085749362401558</v>
      </c>
      <c r="D43" s="11">
        <f t="shared" ref="D43:H43" si="15">D27-D26</f>
        <v>56.900199739516943</v>
      </c>
      <c r="E43" s="11">
        <f t="shared" si="15"/>
        <v>58.355221437152736</v>
      </c>
      <c r="F43" s="11">
        <f t="shared" si="15"/>
        <v>60.195787603827711</v>
      </c>
      <c r="G43" s="11">
        <f t="shared" si="15"/>
        <v>62.197847485890804</v>
      </c>
      <c r="H43" s="11">
        <f t="shared" si="15"/>
        <v>64.187091541309726</v>
      </c>
    </row>
  </sheetData>
  <printOptions horizontalCentered="1" verticalCentered="1"/>
  <pageMargins left="0.7" right="0.7" top="0.75" bottom="0.75" header="0.3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39"/>
  <sheetViews>
    <sheetView topLeftCell="A5" workbookViewId="0">
      <selection activeCell="G23" sqref="G23"/>
    </sheetView>
  </sheetViews>
  <sheetFormatPr defaultRowHeight="12.5"/>
  <cols>
    <col min="1" max="1" width="26.7265625" bestFit="1" customWidth="1"/>
  </cols>
  <sheetData>
    <row r="1" spans="1:6" ht="15">
      <c r="A1" s="18" t="s">
        <v>217</v>
      </c>
      <c r="B1" s="19"/>
      <c r="C1" s="20"/>
      <c r="D1" s="19"/>
      <c r="E1" s="19"/>
      <c r="F1" s="19"/>
    </row>
    <row r="2" spans="1:6" ht="13.5">
      <c r="A2" s="19" t="s">
        <v>393</v>
      </c>
      <c r="C2" s="21" t="s">
        <v>23</v>
      </c>
      <c r="D2" s="19"/>
      <c r="E2" s="19"/>
      <c r="F2" s="19"/>
    </row>
    <row r="3" spans="1:6" ht="13">
      <c r="A3" s="19" t="s">
        <v>355</v>
      </c>
      <c r="B3" s="19" t="s">
        <v>17</v>
      </c>
      <c r="C3" s="22">
        <v>50</v>
      </c>
      <c r="D3" s="23" t="s">
        <v>23</v>
      </c>
      <c r="E3" s="19"/>
      <c r="F3" s="19"/>
    </row>
    <row r="4" spans="1:6" ht="13">
      <c r="A4" s="19" t="s">
        <v>356</v>
      </c>
      <c r="B4" s="19" t="s">
        <v>113</v>
      </c>
      <c r="C4" s="19">
        <v>50</v>
      </c>
      <c r="D4" s="23" t="s">
        <v>23</v>
      </c>
      <c r="E4" s="19"/>
      <c r="F4" s="19"/>
    </row>
    <row r="5" spans="1:6" ht="15">
      <c r="A5" s="19" t="s">
        <v>114</v>
      </c>
      <c r="B5" s="14" t="s">
        <v>115</v>
      </c>
      <c r="C5" s="14">
        <v>0.04</v>
      </c>
      <c r="D5" s="23"/>
      <c r="E5" s="19"/>
      <c r="F5" s="19"/>
    </row>
    <row r="6" spans="1:6" ht="15">
      <c r="A6" s="19" t="s">
        <v>116</v>
      </c>
      <c r="B6" s="14" t="s">
        <v>117</v>
      </c>
      <c r="C6" s="14">
        <v>0.04</v>
      </c>
      <c r="D6" s="24"/>
      <c r="E6" s="19"/>
      <c r="F6" s="19"/>
    </row>
    <row r="7" spans="1:6" ht="15">
      <c r="A7" s="19" t="s">
        <v>118</v>
      </c>
      <c r="B7" s="14" t="s">
        <v>119</v>
      </c>
      <c r="C7" s="25">
        <v>0.4</v>
      </c>
      <c r="D7" s="24"/>
      <c r="E7" s="19"/>
      <c r="F7" s="19"/>
    </row>
    <row r="8" spans="1:6" ht="15">
      <c r="A8" s="19" t="s">
        <v>120</v>
      </c>
      <c r="B8" s="14" t="s">
        <v>121</v>
      </c>
      <c r="C8" s="25">
        <v>0.3</v>
      </c>
      <c r="D8" s="24"/>
      <c r="E8" s="19"/>
      <c r="F8" s="19"/>
    </row>
    <row r="9" spans="1:6" ht="13">
      <c r="A9" s="19" t="s">
        <v>122</v>
      </c>
      <c r="B9" s="14" t="s">
        <v>123</v>
      </c>
      <c r="C9" s="25">
        <v>0.5</v>
      </c>
      <c r="D9" s="24"/>
      <c r="E9" s="19"/>
      <c r="F9" s="19"/>
    </row>
    <row r="10" spans="1:6" ht="13">
      <c r="A10" s="19" t="s">
        <v>124</v>
      </c>
      <c r="B10" s="14" t="s">
        <v>0</v>
      </c>
      <c r="C10" s="14">
        <v>0.05</v>
      </c>
      <c r="D10" s="24"/>
      <c r="E10" s="19"/>
      <c r="F10" s="19"/>
    </row>
    <row r="11" spans="1:6" ht="15">
      <c r="A11" s="19" t="s">
        <v>357</v>
      </c>
      <c r="B11" s="14" t="s">
        <v>358</v>
      </c>
      <c r="C11" s="26">
        <v>100</v>
      </c>
      <c r="D11" s="24"/>
      <c r="E11" s="19"/>
      <c r="F11" s="19"/>
    </row>
    <row r="12" spans="1:6" ht="15">
      <c r="A12" s="19" t="s">
        <v>359</v>
      </c>
      <c r="B12" s="14" t="s">
        <v>360</v>
      </c>
      <c r="C12" s="26">
        <v>100</v>
      </c>
      <c r="D12" s="24"/>
      <c r="E12" s="19"/>
      <c r="F12" s="19"/>
    </row>
    <row r="13" spans="1:6" ht="15">
      <c r="A13" s="19" t="s">
        <v>129</v>
      </c>
      <c r="B13" s="14" t="s">
        <v>130</v>
      </c>
      <c r="C13" s="24">
        <v>50</v>
      </c>
      <c r="D13" s="24"/>
      <c r="E13" s="19"/>
      <c r="F13" s="19"/>
    </row>
    <row r="14" spans="1:6" ht="13">
      <c r="A14" s="19" t="s">
        <v>23</v>
      </c>
      <c r="B14" s="14" t="s">
        <v>23</v>
      </c>
      <c r="C14" s="24" t="s">
        <v>23</v>
      </c>
      <c r="D14" s="24"/>
      <c r="E14" s="19"/>
      <c r="F14" s="19"/>
    </row>
    <row r="15" spans="1:6" ht="13">
      <c r="A15" s="19" t="s">
        <v>361</v>
      </c>
      <c r="B15" s="19" t="s">
        <v>3</v>
      </c>
      <c r="C15" s="27">
        <f>(-C3/C5+C11/C10)</f>
        <v>750</v>
      </c>
      <c r="D15" s="24" t="s">
        <v>23</v>
      </c>
      <c r="E15" s="19"/>
      <c r="F15" s="19"/>
    </row>
    <row r="16" spans="1:6" ht="13">
      <c r="A16" s="19" t="s">
        <v>362</v>
      </c>
      <c r="B16" s="19" t="s">
        <v>136</v>
      </c>
      <c r="C16" s="27">
        <f>(-C4/C6+C12/C10)</f>
        <v>750</v>
      </c>
      <c r="D16" s="24" t="s">
        <v>23</v>
      </c>
      <c r="E16" s="19"/>
      <c r="F16" s="19"/>
    </row>
    <row r="17" spans="1:6" ht="15">
      <c r="A17" s="19" t="s">
        <v>149</v>
      </c>
      <c r="B17" s="14" t="s">
        <v>139</v>
      </c>
      <c r="C17" s="28">
        <f>C3</f>
        <v>50</v>
      </c>
      <c r="D17" s="24"/>
      <c r="E17" s="19"/>
      <c r="F17" s="19"/>
    </row>
    <row r="18" spans="1:6" ht="13">
      <c r="A18" s="19" t="s">
        <v>23</v>
      </c>
      <c r="B18" s="14" t="s">
        <v>23</v>
      </c>
      <c r="C18" s="28" t="s">
        <v>23</v>
      </c>
      <c r="D18" s="24"/>
      <c r="E18" s="19"/>
      <c r="F18" s="19"/>
    </row>
    <row r="19" spans="1:6" ht="13">
      <c r="A19" s="19"/>
      <c r="B19" s="19" t="s">
        <v>142</v>
      </c>
      <c r="C19" s="19"/>
      <c r="D19" s="19" t="s">
        <v>143</v>
      </c>
      <c r="E19" s="19"/>
      <c r="F19" s="19"/>
    </row>
    <row r="20" spans="1:6" ht="15">
      <c r="A20" s="19" t="s">
        <v>144</v>
      </c>
      <c r="B20" s="29" t="s">
        <v>145</v>
      </c>
      <c r="C20" s="65">
        <f>-C3/C5+C11/C10+C22*C3^C24*C4^C25</f>
        <v>1284.2197678739058</v>
      </c>
      <c r="D20" s="30">
        <f>C20-C15</f>
        <v>534.21976787390577</v>
      </c>
      <c r="E20" s="19"/>
      <c r="F20" s="19"/>
    </row>
    <row r="21" spans="1:6" ht="15">
      <c r="A21" s="19" t="s">
        <v>146</v>
      </c>
      <c r="B21" s="29" t="s">
        <v>147</v>
      </c>
      <c r="C21" s="65">
        <f>-C4/C6+C12/C10</f>
        <v>750</v>
      </c>
      <c r="D21" s="27" t="s">
        <v>23</v>
      </c>
      <c r="E21" s="19"/>
      <c r="F21" s="19"/>
    </row>
    <row r="22" spans="1:6" ht="13">
      <c r="A22" s="19"/>
      <c r="B22" s="32" t="s">
        <v>27</v>
      </c>
      <c r="C22" s="33">
        <v>8.5512284555992615</v>
      </c>
      <c r="D22" s="34"/>
      <c r="E22" s="19"/>
      <c r="F22" s="19"/>
    </row>
    <row r="23" spans="1:6" ht="15">
      <c r="A23" s="19" t="s">
        <v>149</v>
      </c>
      <c r="B23" s="35" t="s">
        <v>150</v>
      </c>
      <c r="C23" s="36">
        <v>12.868802772238206</v>
      </c>
      <c r="D23" s="23"/>
      <c r="E23" s="19"/>
      <c r="F23" s="19"/>
    </row>
    <row r="24" spans="1:6" ht="15">
      <c r="A24" s="19" t="s">
        <v>152</v>
      </c>
      <c r="B24" s="35" t="s">
        <v>153</v>
      </c>
      <c r="C24" s="37">
        <v>1.4232364380587736</v>
      </c>
      <c r="D24" s="38" t="s">
        <v>156</v>
      </c>
      <c r="E24" s="19"/>
      <c r="F24" s="19"/>
    </row>
    <row r="25" spans="1:6" ht="15">
      <c r="A25" s="19" t="s">
        <v>152</v>
      </c>
      <c r="B25" s="35" t="s">
        <v>155</v>
      </c>
      <c r="C25" s="37">
        <v>-0.36630698052751648</v>
      </c>
      <c r="D25" s="38" t="s">
        <v>154</v>
      </c>
      <c r="E25" s="19"/>
      <c r="F25" s="19"/>
    </row>
    <row r="26" spans="1:6" ht="13">
      <c r="A26" s="19"/>
      <c r="B26" s="19" t="s">
        <v>159</v>
      </c>
      <c r="C26" s="39"/>
      <c r="D26" s="27"/>
      <c r="E26" s="19"/>
      <c r="F26" s="19"/>
    </row>
    <row r="27" spans="1:6" ht="13">
      <c r="A27" s="19" t="s">
        <v>160</v>
      </c>
      <c r="B27" s="32" t="s">
        <v>383</v>
      </c>
      <c r="C27" s="40">
        <f>C22*C17^C24*C23^C25-C17/C5+C11/C10+C23/C6-C12/C10+C13</f>
        <v>2.206866156484466E-8</v>
      </c>
      <c r="D27" s="27"/>
      <c r="E27" s="19"/>
      <c r="F27" s="19"/>
    </row>
    <row r="28" spans="1:6" ht="13">
      <c r="A28" s="19" t="s">
        <v>164</v>
      </c>
      <c r="B28" s="32" t="s">
        <v>384</v>
      </c>
      <c r="C28" s="40">
        <f>C24*C22*C17^(C24-1)*C23^C25-1/C5</f>
        <v>4.21815116169455E-9</v>
      </c>
      <c r="D28" s="27"/>
      <c r="E28" s="19"/>
      <c r="F28" s="19"/>
    </row>
    <row r="29" spans="1:6" ht="13">
      <c r="A29" s="19" t="s">
        <v>166</v>
      </c>
      <c r="B29" s="32" t="s">
        <v>385</v>
      </c>
      <c r="C29" s="40">
        <f>C25*C22*C17^C24*C23^(C25-1)+1/C6</f>
        <v>-1.341078714744981E-8</v>
      </c>
      <c r="D29" s="27"/>
      <c r="E29" s="19"/>
      <c r="F29" s="19"/>
    </row>
    <row r="30" spans="1:6" ht="13">
      <c r="A30" s="19" t="s">
        <v>172</v>
      </c>
      <c r="B30" s="32" t="s">
        <v>386</v>
      </c>
      <c r="C30" s="40">
        <f>0.5*C7^2*C24*(C24-1)+0.5*C8^2*C25*(C25-1)+C9*C7*C8*C24*C25+C24*(C10-C5)+C25*(C10-C6)-C10</f>
        <v>-9.0724719403745269E-12</v>
      </c>
      <c r="D30" s="27"/>
      <c r="E30" s="19"/>
      <c r="F30" s="19"/>
    </row>
    <row r="31" spans="1:6" ht="13">
      <c r="A31" s="19"/>
      <c r="B31" s="19" t="s">
        <v>176</v>
      </c>
      <c r="C31" s="41">
        <f t="array" ref="C31">SUM(ABS(C27:C30))</f>
        <v>3.9706672345929395E-8</v>
      </c>
      <c r="D31" s="42" t="s">
        <v>23</v>
      </c>
      <c r="E31" s="19"/>
      <c r="F31" s="19"/>
    </row>
    <row r="32" spans="1:6" ht="13">
      <c r="B32" s="32" t="s">
        <v>222</v>
      </c>
    </row>
    <row r="33" spans="1:3" ht="13">
      <c r="A33" s="32" t="str">
        <f>B27</f>
        <v>EQ 52</v>
      </c>
      <c r="B33" s="40" t="s">
        <v>387</v>
      </c>
    </row>
    <row r="34" spans="1:3" ht="13">
      <c r="A34" s="32" t="str">
        <f>B28</f>
        <v>EQ 53</v>
      </c>
      <c r="B34" s="40" t="s">
        <v>388</v>
      </c>
    </row>
    <row r="35" spans="1:3" ht="13">
      <c r="A35" s="32" t="str">
        <f>B29</f>
        <v>EQ 54</v>
      </c>
      <c r="B35" s="40" t="s">
        <v>389</v>
      </c>
    </row>
    <row r="36" spans="1:3" ht="13">
      <c r="A36" s="32" t="str">
        <f>B30</f>
        <v>EQ 55</v>
      </c>
      <c r="B36" s="53" t="s">
        <v>226</v>
      </c>
    </row>
    <row r="37" spans="1:3" ht="13">
      <c r="A37" s="32" t="s">
        <v>194</v>
      </c>
      <c r="C37" s="11">
        <f>-C23+C4</f>
        <v>37.131197227761795</v>
      </c>
    </row>
    <row r="38" spans="1:3" ht="15">
      <c r="A38" s="32" t="s">
        <v>378</v>
      </c>
      <c r="B38" s="67" t="s">
        <v>390</v>
      </c>
    </row>
    <row r="39" spans="1:3" ht="15">
      <c r="A39" s="32" t="s">
        <v>380</v>
      </c>
      <c r="B39" s="67" t="s">
        <v>391</v>
      </c>
    </row>
  </sheetData>
  <printOptions horizontalCentered="1" headings="1"/>
  <pageMargins left="0.7" right="0.33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14"/>
  <sheetViews>
    <sheetView workbookViewId="0">
      <selection activeCell="A14" sqref="A1:D14"/>
    </sheetView>
  </sheetViews>
  <sheetFormatPr defaultRowHeight="12.5"/>
  <cols>
    <col min="1" max="5" width="20.7265625" customWidth="1"/>
  </cols>
  <sheetData>
    <row r="1" spans="1:4" ht="13">
      <c r="B1" s="17" t="s">
        <v>345</v>
      </c>
      <c r="C1" s="17" t="s">
        <v>346</v>
      </c>
      <c r="D1" s="17" t="s">
        <v>347</v>
      </c>
    </row>
    <row r="2" spans="1:4">
      <c r="A2" s="9" t="s">
        <v>348</v>
      </c>
    </row>
    <row r="3" spans="1:4">
      <c r="A3" s="9" t="s">
        <v>349</v>
      </c>
      <c r="B3" s="64">
        <v>1500</v>
      </c>
      <c r="C3" s="64">
        <f>[9]IN_OUT!$E$22</f>
        <v>1250</v>
      </c>
      <c r="D3" s="64">
        <v>750</v>
      </c>
    </row>
    <row r="4" spans="1:4">
      <c r="A4" s="9" t="s">
        <v>350</v>
      </c>
      <c r="B4" s="64">
        <v>2780.367890946628</v>
      </c>
      <c r="C4" s="64">
        <f>'IN OUT'!$C$22</f>
        <v>1718.2657420479586</v>
      </c>
      <c r="D4" s="64">
        <f>'IN IN MULTIPLE'!$C$22</f>
        <v>1380.6640239830922</v>
      </c>
    </row>
    <row r="5" spans="1:4">
      <c r="A5" s="9" t="s">
        <v>351</v>
      </c>
      <c r="B5" s="64">
        <v>2781.7606059830955</v>
      </c>
      <c r="C5" s="64">
        <f>'IN OUT'!$C$23</f>
        <v>1649.1587624128756</v>
      </c>
      <c r="D5" s="64">
        <f>'IN IN MULTIPLE'!$C$23</f>
        <v>1362.140937218443</v>
      </c>
    </row>
    <row r="6" spans="1:4">
      <c r="A6" s="9" t="s">
        <v>352</v>
      </c>
      <c r="B6" s="64">
        <v>97.04</v>
      </c>
      <c r="C6" s="64">
        <f>'IN OUT'!$C$43</f>
        <v>97.035670888009236</v>
      </c>
      <c r="D6" s="64">
        <f>'IN IN MULTIPLE'!$C$51</f>
        <v>62.197847457697904</v>
      </c>
    </row>
    <row r="7" spans="1:4">
      <c r="B7" s="2"/>
      <c r="C7" s="2"/>
      <c r="D7" s="2"/>
    </row>
    <row r="8" spans="1:4">
      <c r="A8" s="9" t="s">
        <v>353</v>
      </c>
      <c r="B8" s="2"/>
      <c r="C8" s="2"/>
      <c r="D8" s="2"/>
    </row>
    <row r="9" spans="1:4">
      <c r="A9" s="9" t="s">
        <v>349</v>
      </c>
      <c r="B9" s="64">
        <f>B3</f>
        <v>1500</v>
      </c>
      <c r="C9" s="64">
        <v>1250</v>
      </c>
      <c r="D9" s="64">
        <v>750</v>
      </c>
    </row>
    <row r="10" spans="1:4">
      <c r="A10" s="9" t="s">
        <v>350</v>
      </c>
      <c r="B10" s="64">
        <v>2528.9789723615286</v>
      </c>
      <c r="C10" s="64">
        <f>'IN OUT SINGLE'!$C$14</f>
        <v>1630.8384967733155</v>
      </c>
      <c r="D10" s="64">
        <f>'IN IN SINGLE'!$C$20</f>
        <v>1284.2197678739058</v>
      </c>
    </row>
    <row r="11" spans="1:4">
      <c r="A11" s="9" t="s">
        <v>351</v>
      </c>
      <c r="B11" s="64">
        <v>1500</v>
      </c>
      <c r="C11" s="64">
        <v>0</v>
      </c>
      <c r="D11" s="64">
        <f>'IN IN SINGLE'!$C$21</f>
        <v>750</v>
      </c>
    </row>
    <row r="12" spans="1:4">
      <c r="A12" s="9" t="s">
        <v>352</v>
      </c>
      <c r="B12" s="64">
        <v>237.04</v>
      </c>
      <c r="C12" s="64">
        <f>'IN OUT SINGLE'!$C$26</f>
        <v>287.04347206128</v>
      </c>
      <c r="D12" s="64">
        <f>'IN IN SINGLE'!$C$37</f>
        <v>37.131197227761795</v>
      </c>
    </row>
    <row r="14" spans="1:4">
      <c r="A14" t="s">
        <v>422</v>
      </c>
      <c r="B14" s="3">
        <f>B4/B10</f>
        <v>1.0994033249514745</v>
      </c>
      <c r="C14" s="3">
        <f t="shared" ref="C14:D14" si="0">C4/C10</f>
        <v>1.0536087696283978</v>
      </c>
      <c r="D14" s="3">
        <f t="shared" si="0"/>
        <v>1.0750994950567183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GUIDE</vt:lpstr>
      <vt:lpstr>OUTPUT</vt:lpstr>
      <vt:lpstr>OUT VOLATILITY</vt:lpstr>
      <vt:lpstr>OUT SINGLE</vt:lpstr>
      <vt:lpstr>Sheet1</vt:lpstr>
      <vt:lpstr>IN OUT</vt:lpstr>
      <vt:lpstr>IN OUT VOLATILITY</vt:lpstr>
      <vt:lpstr>IN OUT SINGLE</vt:lpstr>
      <vt:lpstr>IN IN MULTIPLE</vt:lpstr>
      <vt:lpstr>IN IN VOLATILITY</vt:lpstr>
      <vt:lpstr>IN IN SINGLE</vt:lpstr>
      <vt:lpstr>COMPARISONS</vt:lpstr>
    </vt:vector>
  </TitlesOfParts>
  <Company>Manchester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Paxson</dc:creator>
  <cp:lastModifiedBy>Dean Paxson</cp:lastModifiedBy>
  <cp:lastPrinted>2017-12-04T23:51:15Z</cp:lastPrinted>
  <dcterms:created xsi:type="dcterms:W3CDTF">1998-12-09T15:08:54Z</dcterms:created>
  <dcterms:modified xsi:type="dcterms:W3CDTF">2018-03-03T17:08:32Z</dcterms:modified>
</cp:coreProperties>
</file>